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20" windowWidth="15480" windowHeight="10260" activeTab="0"/>
  </bookViews>
  <sheets>
    <sheet name="Pointer" sheetId="1" r:id="rId1"/>
  </sheets>
  <definedNames>
    <definedName name="_xlnm.Print_Area" localSheetId="0">'Pointer'!$A$1:$U$45</definedName>
  </definedNames>
  <calcPr fullCalcOnLoad="1" iterate="1" iterateCount="2" iterateDelta="0.1"/>
</workbook>
</file>

<file path=xl/comments1.xml><?xml version="1.0" encoding="utf-8"?>
<comments xmlns="http://schemas.openxmlformats.org/spreadsheetml/2006/main">
  <authors>
    <author>Ren? Kuipers</author>
  </authors>
  <commentList>
    <comment ref="B5" authorId="0">
      <text>
        <r>
          <rPr>
            <b/>
            <sz val="8"/>
            <rFont val="Tahoma"/>
            <family val="0"/>
          </rPr>
          <t>first section</t>
        </r>
      </text>
    </comment>
    <comment ref="B7" authorId="0">
      <text>
        <r>
          <rPr>
            <b/>
            <sz val="8"/>
            <rFont val="Tahoma"/>
            <family val="0"/>
          </rPr>
          <t>second section</t>
        </r>
      </text>
    </comment>
    <comment ref="B9" authorId="0">
      <text>
        <r>
          <rPr>
            <b/>
            <sz val="8"/>
            <rFont val="Tahoma"/>
            <family val="0"/>
          </rPr>
          <t>seating: +/- 1 m
standing: +/- 1m80</t>
        </r>
      </text>
    </comment>
    <comment ref="B23" authorId="0">
      <text>
        <r>
          <rPr>
            <b/>
            <sz val="8"/>
            <rFont val="Tahoma"/>
            <family val="0"/>
          </rPr>
          <t>seating: +/- 1 m
standing: +/- 1m80</t>
        </r>
      </text>
    </comment>
    <comment ref="AC69" authorId="0">
      <text>
        <r>
          <rPr>
            <b/>
            <sz val="8"/>
            <rFont val="Tahoma"/>
            <family val="0"/>
          </rPr>
          <t>Menukeuze
hoeken</t>
        </r>
      </text>
    </comment>
    <comment ref="AC68" authorId="0">
      <text>
        <r>
          <rPr>
            <b/>
            <sz val="8"/>
            <rFont val="Tahoma"/>
            <family val="0"/>
          </rPr>
          <t>Menukeuze
hoeken</t>
        </r>
      </text>
    </comment>
    <comment ref="AC67" authorId="0">
      <text>
        <r>
          <rPr>
            <b/>
            <sz val="8"/>
            <rFont val="Tahoma"/>
            <family val="0"/>
          </rPr>
          <t>Menukeuze
hoeken</t>
        </r>
      </text>
    </comment>
    <comment ref="AA67" authorId="0">
      <text>
        <r>
          <rPr>
            <b/>
            <sz val="8"/>
            <rFont val="Tahoma"/>
            <family val="0"/>
          </rPr>
          <t>Menukeuze
kasten</t>
        </r>
      </text>
    </comment>
    <comment ref="AC66" authorId="0">
      <text>
        <r>
          <rPr>
            <b/>
            <sz val="8"/>
            <rFont val="Tahoma"/>
            <family val="0"/>
          </rPr>
          <t>Menukeuze
hoeken</t>
        </r>
      </text>
    </comment>
    <comment ref="AA66" authorId="0">
      <text>
        <r>
          <rPr>
            <b/>
            <sz val="8"/>
            <rFont val="Tahoma"/>
            <family val="0"/>
          </rPr>
          <t>Menukeuze
kasten</t>
        </r>
      </text>
    </comment>
    <comment ref="AC65" authorId="0">
      <text>
        <r>
          <rPr>
            <b/>
            <sz val="8"/>
            <rFont val="Tahoma"/>
            <family val="0"/>
          </rPr>
          <t>Menukeuze
hoeken</t>
        </r>
      </text>
    </comment>
    <comment ref="AA65" authorId="0">
      <text>
        <r>
          <rPr>
            <b/>
            <sz val="8"/>
            <rFont val="Tahoma"/>
            <family val="0"/>
          </rPr>
          <t>Menukeuze
kasten</t>
        </r>
      </text>
    </comment>
  </commentList>
</comments>
</file>

<file path=xl/sharedStrings.xml><?xml version="1.0" encoding="utf-8"?>
<sst xmlns="http://schemas.openxmlformats.org/spreadsheetml/2006/main" count="148" uniqueCount="84">
  <si>
    <t>elevation1</t>
  </si>
  <si>
    <t>depth 2</t>
  </si>
  <si>
    <t>elevation 2</t>
  </si>
  <si>
    <t>listening height</t>
  </si>
  <si>
    <t>Balcony 1</t>
  </si>
  <si>
    <t>depth</t>
  </si>
  <si>
    <t>depth 1</t>
  </si>
  <si>
    <t>distance</t>
  </si>
  <si>
    <t>height</t>
  </si>
  <si>
    <t>elevation</t>
  </si>
  <si>
    <t>Balcony 2</t>
  </si>
  <si>
    <t>horizontal offset</t>
  </si>
  <si>
    <t>Main floor</t>
  </si>
  <si>
    <t>VENUE DIMENSIONS</t>
  </si>
  <si>
    <t>array weight</t>
  </si>
  <si>
    <t>angles</t>
  </si>
  <si>
    <t>front hoist load</t>
  </si>
  <si>
    <t>rear hoist load</t>
  </si>
  <si>
    <t>ARRAY</t>
  </si>
  <si>
    <t>bumper tilt</t>
  </si>
  <si>
    <t>cabinets</t>
  </si>
  <si>
    <t>5</t>
  </si>
  <si>
    <t>AV27</t>
  </si>
  <si>
    <t>AV27 POINTER</t>
  </si>
  <si>
    <t>AB37</t>
  </si>
  <si>
    <t>ARRAY DIMENSIONS</t>
  </si>
  <si>
    <t>LOADS</t>
  </si>
  <si>
    <t>vloer 1</t>
  </si>
  <si>
    <t>balcon 2</t>
  </si>
  <si>
    <t>balcon 1</t>
  </si>
  <si>
    <t>luister vl</t>
  </si>
  <si>
    <t>luister b1</t>
  </si>
  <si>
    <t>luister b2</t>
  </si>
  <si>
    <t>bumper</t>
  </si>
  <si>
    <t>x0</t>
  </si>
  <si>
    <t>x1</t>
  </si>
  <si>
    <t>x2</t>
  </si>
  <si>
    <t>x3</t>
  </si>
  <si>
    <t>y0</t>
  </si>
  <si>
    <t>y1</t>
  </si>
  <si>
    <t>y2</t>
  </si>
  <si>
    <t>y3</t>
  </si>
  <si>
    <t>grafiekvlak</t>
  </si>
  <si>
    <t>maximum</t>
  </si>
  <si>
    <t>hoek</t>
  </si>
  <si>
    <t>element</t>
  </si>
  <si>
    <t>type</t>
  </si>
  <si>
    <t>Xab</t>
  </si>
  <si>
    <t>Yab</t>
  </si>
  <si>
    <t>Yao</t>
  </si>
  <si>
    <t>Xvb</t>
  </si>
  <si>
    <t>Xvo</t>
  </si>
  <si>
    <t>Yvb</t>
  </si>
  <si>
    <t>Yvo</t>
  </si>
  <si>
    <t>Xao</t>
  </si>
  <si>
    <t>Xab37</t>
  </si>
  <si>
    <t>Xao37</t>
  </si>
  <si>
    <t>Yao37</t>
  </si>
  <si>
    <t>Yab37</t>
  </si>
  <si>
    <t>gr</t>
  </si>
  <si>
    <t>Bump</t>
  </si>
  <si>
    <t>Xli</t>
  </si>
  <si>
    <t>Yli</t>
  </si>
  <si>
    <t>0,63</t>
  </si>
  <si>
    <t>1,25</t>
  </si>
  <si>
    <t>2,5</t>
  </si>
  <si>
    <t>0</t>
  </si>
  <si>
    <t/>
  </si>
  <si>
    <t>MIN</t>
  </si>
  <si>
    <t>MAX</t>
  </si>
  <si>
    <t>Xzw</t>
  </si>
  <si>
    <t>Yzw</t>
  </si>
  <si>
    <t>Xzwcum</t>
  </si>
  <si>
    <t>Yzwcum</t>
  </si>
  <si>
    <t>Wcum</t>
  </si>
  <si>
    <t>W</t>
  </si>
  <si>
    <t>hoist advice</t>
  </si>
  <si>
    <t>WARNINGS</t>
  </si>
  <si>
    <t>top box height (a)</t>
  </si>
  <si>
    <t>bumper height (d)</t>
  </si>
  <si>
    <t>front of array (f)</t>
  </si>
  <si>
    <t>bottom of array (b)</t>
  </si>
  <si>
    <t>array height (c)</t>
  </si>
  <si>
    <t>back of array (e)</t>
  </si>
</sst>
</file>

<file path=xl/styles.xml><?xml version="1.0" encoding="utf-8"?>
<styleSheet xmlns="http://schemas.openxmlformats.org/spreadsheetml/2006/main">
  <numFmts count="4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0&quot;m&quot;"/>
    <numFmt numFmtId="187" formatCode="0&quot;m&quot;.0"/>
    <numFmt numFmtId="188" formatCode="0&quot;m&quot;0"/>
    <numFmt numFmtId="189" formatCode="0.00&quot;m&quot;"/>
    <numFmt numFmtId="190" formatCode="0.0"/>
    <numFmt numFmtId="191" formatCode="0.0&quot;m&quot;"/>
    <numFmt numFmtId="192" formatCode="0&quot;dgr&quot;"/>
    <numFmt numFmtId="193" formatCode="0&quot;o&quot;"/>
    <numFmt numFmtId="194" formatCode="0&quot; dgr&quot;"/>
    <numFmt numFmtId="195" formatCode="0.00&quot; m&quot;"/>
    <numFmt numFmtId="196" formatCode="0&quot; m&quot;"/>
    <numFmt numFmtId="197" formatCode="0.0&quot; m&quot;"/>
    <numFmt numFmtId="198" formatCode="0&quot; kg&quot;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[$€-2]\ #.##000_);[Red]\([$€-2]\ #.##000\)"/>
    <numFmt numFmtId="203" formatCode="0&quot;lbs&quot;"/>
    <numFmt numFmtId="204" formatCode="0\ &quot;lbs&quot;"/>
  </numFmts>
  <fonts count="51">
    <font>
      <sz val="10"/>
      <name val="Arial"/>
      <family val="0"/>
    </font>
    <font>
      <b/>
      <sz val="10"/>
      <color indexed="8"/>
      <name val="Arial"/>
      <family val="2"/>
    </font>
    <font>
      <b/>
      <i/>
      <sz val="14"/>
      <name val="Arial Black"/>
      <family val="2"/>
    </font>
    <font>
      <b/>
      <sz val="8"/>
      <name val="Tahoma"/>
      <family val="0"/>
    </font>
    <font>
      <b/>
      <sz val="9"/>
      <color indexed="8"/>
      <name val="Arial Black"/>
      <family val="2"/>
    </font>
    <font>
      <sz val="8"/>
      <name val="Arial Black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sz val="6.25"/>
      <color indexed="8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195" fontId="0" fillId="33" borderId="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196" fontId="0" fillId="33" borderId="0" xfId="0" applyNumberFormat="1" applyFont="1" applyFill="1" applyBorder="1" applyAlignment="1" applyProtection="1">
      <alignment/>
      <protection locked="0"/>
    </xf>
    <xf numFmtId="197" fontId="0" fillId="33" borderId="0" xfId="0" applyNumberFormat="1" applyFont="1" applyFill="1" applyBorder="1" applyAlignment="1" applyProtection="1">
      <alignment/>
      <protection locked="0"/>
    </xf>
    <xf numFmtId="195" fontId="0" fillId="33" borderId="0" xfId="0" applyNumberFormat="1" applyFont="1" applyFill="1" applyBorder="1" applyAlignment="1" applyProtection="1">
      <alignment/>
      <protection locked="0"/>
    </xf>
    <xf numFmtId="194" fontId="0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204" fontId="0" fillId="33" borderId="0" xfId="0" applyNumberFormat="1" applyFont="1" applyFill="1" applyBorder="1" applyAlignment="1">
      <alignment/>
    </xf>
    <xf numFmtId="0" fontId="9" fillId="0" borderId="0" xfId="0" applyFont="1" applyAlignment="1" applyProtection="1">
      <alignment/>
      <protection hidden="1"/>
    </xf>
    <xf numFmtId="2" fontId="9" fillId="33" borderId="10" xfId="0" applyNumberFormat="1" applyFont="1" applyFill="1" applyBorder="1" applyAlignment="1" applyProtection="1">
      <alignment/>
      <protection hidden="1"/>
    </xf>
    <xf numFmtId="2" fontId="9" fillId="33" borderId="11" xfId="0" applyNumberFormat="1" applyFont="1" applyFill="1" applyBorder="1" applyAlignment="1" applyProtection="1">
      <alignment/>
      <protection hidden="1"/>
    </xf>
    <xf numFmtId="2" fontId="9" fillId="33" borderId="12" xfId="0" applyNumberFormat="1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198" fontId="0" fillId="33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13" fillId="34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0" fontId="12" fillId="35" borderId="0" xfId="0" applyFont="1" applyFill="1" applyAlignment="1" applyProtection="1">
      <alignment horizontal="center"/>
      <protection hidden="1"/>
    </xf>
    <xf numFmtId="190" fontId="12" fillId="35" borderId="0" xfId="0" applyNumberFormat="1" applyFont="1" applyFill="1" applyAlignment="1" applyProtection="1">
      <alignment horizontal="center"/>
      <protection hidden="1"/>
    </xf>
    <xf numFmtId="0" fontId="12" fillId="35" borderId="0" xfId="0" applyFont="1" applyFill="1" applyAlignment="1" applyProtection="1">
      <alignment/>
      <protection hidden="1"/>
    </xf>
    <xf numFmtId="0" fontId="12" fillId="35" borderId="0" xfId="0" applyFont="1" applyFill="1" applyAlignment="1" applyProtection="1">
      <alignment horizontal="left"/>
      <protection hidden="1"/>
    </xf>
    <xf numFmtId="190" fontId="0" fillId="33" borderId="0" xfId="0" applyNumberFormat="1" applyFill="1" applyAlignment="1" applyProtection="1">
      <alignment/>
      <protection hidden="1"/>
    </xf>
    <xf numFmtId="0" fontId="5" fillId="33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v>vloer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Pointer!$AE$78:$AG$78</c:f>
              <c:numCache/>
            </c:numRef>
          </c:xVal>
          <c:yVal>
            <c:numRef>
              <c:f>Pointer!$AK$78:$AM$78</c:f>
              <c:numCache/>
            </c:numRef>
          </c:yVal>
          <c:smooth val="0"/>
        </c:ser>
        <c:ser>
          <c:idx val="1"/>
          <c:order val="1"/>
          <c:tx>
            <c:v>luisterhoogte vloer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Pointer!$AE$81:$AJ$81</c:f>
              <c:numCache/>
            </c:numRef>
          </c:xVal>
          <c:yVal>
            <c:numRef>
              <c:f>Pointer!$AK$81:$AM$81</c:f>
              <c:numCache/>
            </c:numRef>
          </c:yVal>
          <c:smooth val="0"/>
        </c:ser>
        <c:ser>
          <c:idx val="2"/>
          <c:order val="2"/>
          <c:tx>
            <c:v>balkon 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Pointer!$AE$79:$AJ$79</c:f>
              <c:numCache/>
            </c:numRef>
          </c:xVal>
          <c:yVal>
            <c:numRef>
              <c:f>Pointer!$AK$79:$AO$79</c:f>
              <c:numCache/>
            </c:numRef>
          </c:yVal>
          <c:smooth val="0"/>
        </c:ser>
        <c:ser>
          <c:idx val="3"/>
          <c:order val="3"/>
          <c:tx>
            <c:v>balkon 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Pointer!$AE$80:$AJ$80</c:f>
              <c:numCache/>
            </c:numRef>
          </c:xVal>
          <c:yVal>
            <c:numRef>
              <c:f>Pointer!$AK$80:$AO$80</c:f>
              <c:numCache/>
            </c:numRef>
          </c:yVal>
          <c:smooth val="0"/>
        </c:ser>
        <c:ser>
          <c:idx val="4"/>
          <c:order val="4"/>
          <c:tx>
            <c:v>luisterhoogte balkon 1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Pointer!$AE$82:$AF$82</c:f>
              <c:numCache/>
            </c:numRef>
          </c:xVal>
          <c:yVal>
            <c:numRef>
              <c:f>Pointer!$AK$82:$AL$82</c:f>
              <c:numCache/>
            </c:numRef>
          </c:yVal>
          <c:smooth val="0"/>
        </c:ser>
        <c:ser>
          <c:idx val="5"/>
          <c:order val="5"/>
          <c:tx>
            <c:v>luisterhoogte balkon 2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Pointer!$AE$83:$AF$83</c:f>
              <c:numCache/>
            </c:numRef>
          </c:xVal>
          <c:yVal>
            <c:numRef>
              <c:f>Pointer!$AK$83:$AL$83</c:f>
              <c:numCache/>
            </c:numRef>
          </c:yVal>
          <c:smooth val="0"/>
        </c:ser>
        <c:ser>
          <c:idx val="6"/>
          <c:order val="6"/>
          <c:tx>
            <c:v>grafiek maxima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Pointer!$AE$85:$AJ$85</c:f>
              <c:numCache/>
            </c:numRef>
          </c:xVal>
          <c:yVal>
            <c:numRef>
              <c:f>Pointer!$AK$85:$AM$85</c:f>
              <c:numCache/>
            </c:numRef>
          </c:yVal>
          <c:smooth val="0"/>
        </c:ser>
        <c:ser>
          <c:idx val="8"/>
          <c:order val="7"/>
          <c:tx>
            <c:v>elem 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Pointer!$AF$91:$AL$91</c:f>
              <c:numCache/>
            </c:numRef>
          </c:xVal>
          <c:yVal>
            <c:numRef>
              <c:f>Pointer!$AO$91:$AU$91</c:f>
              <c:numCache/>
            </c:numRef>
          </c:yVal>
          <c:smooth val="0"/>
        </c:ser>
        <c:ser>
          <c:idx val="9"/>
          <c:order val="8"/>
          <c:tx>
            <c:v>elem 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Pointer!$AF$92:$AL$92</c:f>
              <c:numCache/>
            </c:numRef>
          </c:xVal>
          <c:yVal>
            <c:numRef>
              <c:f>Pointer!$AO$92:$AU$92</c:f>
              <c:numCache/>
            </c:numRef>
          </c:yVal>
          <c:smooth val="0"/>
        </c:ser>
        <c:ser>
          <c:idx val="10"/>
          <c:order val="9"/>
          <c:tx>
            <c:v>elem 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Pointer!$AF$93:$AL$93</c:f>
              <c:numCache/>
            </c:numRef>
          </c:xVal>
          <c:yVal>
            <c:numRef>
              <c:f>Pointer!$AO$93:$AU$93</c:f>
              <c:numCache/>
            </c:numRef>
          </c:yVal>
          <c:smooth val="0"/>
        </c:ser>
        <c:ser>
          <c:idx val="11"/>
          <c:order val="10"/>
          <c:tx>
            <c:v>elem 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Pointer!$AF$90:$AL$90</c:f>
              <c:numCache/>
            </c:numRef>
          </c:xVal>
          <c:yVal>
            <c:numRef>
              <c:f>Pointer!$AO$90:$AU$90</c:f>
              <c:numCache/>
            </c:numRef>
          </c:yVal>
          <c:smooth val="0"/>
        </c:ser>
        <c:ser>
          <c:idx val="12"/>
          <c:order val="11"/>
          <c:tx>
            <c:v>elem 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Pointer!$AF$94:$AL$94</c:f>
              <c:numCache/>
            </c:numRef>
          </c:xVal>
          <c:yVal>
            <c:numRef>
              <c:f>Pointer!$AO$94:$AU$94</c:f>
              <c:numCache/>
            </c:numRef>
          </c:yVal>
          <c:smooth val="0"/>
        </c:ser>
        <c:ser>
          <c:idx val="13"/>
          <c:order val="12"/>
          <c:tx>
            <c:v>elem 6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Pointer!$AF$95:$AL$95</c:f>
              <c:numCache/>
            </c:numRef>
          </c:xVal>
          <c:yVal>
            <c:numRef>
              <c:f>Pointer!$AO$95:$AU$95</c:f>
              <c:numCache/>
            </c:numRef>
          </c:yVal>
          <c:smooth val="0"/>
        </c:ser>
        <c:ser>
          <c:idx val="14"/>
          <c:order val="13"/>
          <c:tx>
            <c:v>elem 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Pointer!$AF$98:$AL$98</c:f>
              <c:numCache/>
            </c:numRef>
          </c:xVal>
          <c:yVal>
            <c:numRef>
              <c:f>Pointer!$AO$98:$AU$98</c:f>
              <c:numCache/>
            </c:numRef>
          </c:yVal>
          <c:smooth val="0"/>
        </c:ser>
        <c:ser>
          <c:idx val="15"/>
          <c:order val="14"/>
          <c:tx>
            <c:v>elem 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Pointer!$AF$99:$AL$99</c:f>
              <c:numCache/>
            </c:numRef>
          </c:xVal>
          <c:yVal>
            <c:numRef>
              <c:f>Pointer!$AO$99:$AU$99</c:f>
              <c:numCache/>
            </c:numRef>
          </c:yVal>
          <c:smooth val="0"/>
        </c:ser>
        <c:ser>
          <c:idx val="16"/>
          <c:order val="15"/>
          <c:tx>
            <c:v>elem 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Pointer!$AF$96:$AL$96</c:f>
              <c:numCache/>
            </c:numRef>
          </c:xVal>
          <c:yVal>
            <c:numRef>
              <c:f>Pointer!$AO$96:$AU$96</c:f>
              <c:numCache/>
            </c:numRef>
          </c:yVal>
          <c:smooth val="0"/>
        </c:ser>
        <c:ser>
          <c:idx val="17"/>
          <c:order val="16"/>
          <c:tx>
            <c:v>elem 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Pointer!$AF$97:$AL$97</c:f>
              <c:numCache/>
            </c:numRef>
          </c:xVal>
          <c:yVal>
            <c:numRef>
              <c:f>Pointer!$AO$97:$AU$97</c:f>
              <c:numCache/>
            </c:numRef>
          </c:yVal>
          <c:smooth val="0"/>
        </c:ser>
        <c:ser>
          <c:idx val="18"/>
          <c:order val="17"/>
          <c:tx>
            <c:v>elem 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Pointer!$AF$100:$AL$100</c:f>
              <c:numCache/>
            </c:numRef>
          </c:xVal>
          <c:yVal>
            <c:numRef>
              <c:f>Pointer!$AO$100:$AU$100</c:f>
              <c:numCache/>
            </c:numRef>
          </c:yVal>
          <c:smooth val="0"/>
        </c:ser>
        <c:ser>
          <c:idx val="19"/>
          <c:order val="18"/>
          <c:tx>
            <c:v>elem 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Pointer!$AF$101:$AL$101</c:f>
              <c:numCache/>
            </c:numRef>
          </c:xVal>
          <c:yVal>
            <c:numRef>
              <c:f>Pointer!$AO$101:$AU$101</c:f>
              <c:numCache/>
            </c:numRef>
          </c:yVal>
          <c:smooth val="0"/>
        </c:ser>
        <c:ser>
          <c:idx val="20"/>
          <c:order val="19"/>
          <c:tx>
            <c:v>elem 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Pointer!$AF$102:$AL$102</c:f>
              <c:numCache/>
            </c:numRef>
          </c:xVal>
          <c:yVal>
            <c:numRef>
              <c:f>Pointer!$AO$102:$AU$102</c:f>
              <c:numCache/>
            </c:numRef>
          </c:yVal>
          <c:smooth val="0"/>
        </c:ser>
        <c:ser>
          <c:idx val="21"/>
          <c:order val="20"/>
          <c:tx>
            <c:v>elem 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Pointer!$AF$103:$AL$103</c:f>
              <c:numCache/>
            </c:numRef>
          </c:xVal>
          <c:yVal>
            <c:numRef>
              <c:f>Pointer!$AO$103:$AU$103</c:f>
              <c:numCache/>
            </c:numRef>
          </c:yVal>
          <c:smooth val="0"/>
        </c:ser>
        <c:ser>
          <c:idx val="22"/>
          <c:order val="21"/>
          <c:tx>
            <c:v>bumper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Pointer!$AF$89:$AL$89</c:f>
              <c:numCache/>
            </c:numRef>
          </c:xVal>
          <c:yVal>
            <c:numRef>
              <c:f>Pointer!$AO$89:$AU$89</c:f>
              <c:numCache/>
            </c:numRef>
          </c:yVal>
          <c:smooth val="0"/>
        </c:ser>
        <c:ser>
          <c:idx val="23"/>
          <c:order val="22"/>
          <c:tx>
            <c:v>l1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Pointer!$AY$90:$AZ$90</c:f>
              <c:numCache/>
            </c:numRef>
          </c:xVal>
          <c:yVal>
            <c:numRef>
              <c:f>Pointer!$BA$90:$BB$90</c:f>
              <c:numCache/>
            </c:numRef>
          </c:yVal>
          <c:smooth val="0"/>
        </c:ser>
        <c:ser>
          <c:idx val="7"/>
          <c:order val="23"/>
          <c:tx>
            <c:v>l2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Pointer!$AY$91:$AZ$91</c:f>
              <c:numCache/>
            </c:numRef>
          </c:xVal>
          <c:yVal>
            <c:numRef>
              <c:f>Pointer!$BA$91:$BB$91</c:f>
              <c:numCache/>
            </c:numRef>
          </c:yVal>
          <c:smooth val="0"/>
        </c:ser>
        <c:ser>
          <c:idx val="24"/>
          <c:order val="24"/>
          <c:tx>
            <c:v>l3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Pointer!$AY$92:$AZ$92</c:f>
              <c:numCache/>
            </c:numRef>
          </c:xVal>
          <c:yVal>
            <c:numRef>
              <c:f>Pointer!$BA$92:$BB$92</c:f>
              <c:numCache/>
            </c:numRef>
          </c:yVal>
          <c:smooth val="0"/>
        </c:ser>
        <c:ser>
          <c:idx val="25"/>
          <c:order val="25"/>
          <c:tx>
            <c:v>l4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Pointer!$AY$93:$AZ$93</c:f>
              <c:numCache/>
            </c:numRef>
          </c:xVal>
          <c:yVal>
            <c:numRef>
              <c:f>Pointer!$BA$93:$BB$93</c:f>
              <c:numCache/>
            </c:numRef>
          </c:yVal>
          <c:smooth val="0"/>
        </c:ser>
        <c:ser>
          <c:idx val="26"/>
          <c:order val="26"/>
          <c:tx>
            <c:v>l5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Pointer!$AY$94:$AZ$94</c:f>
              <c:numCache/>
            </c:numRef>
          </c:xVal>
          <c:yVal>
            <c:numRef>
              <c:f>Pointer!$BA$94:$BB$94</c:f>
              <c:numCache/>
            </c:numRef>
          </c:yVal>
          <c:smooth val="0"/>
        </c:ser>
        <c:ser>
          <c:idx val="27"/>
          <c:order val="27"/>
          <c:tx>
            <c:v>l6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Pointer!$AY$95:$AZ$95</c:f>
              <c:numCache/>
            </c:numRef>
          </c:xVal>
          <c:yVal>
            <c:numRef>
              <c:f>Pointer!$BA$95:$BB$95</c:f>
              <c:numCache/>
            </c:numRef>
          </c:yVal>
          <c:smooth val="0"/>
        </c:ser>
        <c:ser>
          <c:idx val="28"/>
          <c:order val="28"/>
          <c:tx>
            <c:v>l7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Pointer!$AY$96:$AZ$96</c:f>
              <c:numCache/>
            </c:numRef>
          </c:xVal>
          <c:yVal>
            <c:numRef>
              <c:f>Pointer!$BA$96:$BB$96</c:f>
              <c:numCache/>
            </c:numRef>
          </c:yVal>
          <c:smooth val="0"/>
        </c:ser>
        <c:ser>
          <c:idx val="29"/>
          <c:order val="29"/>
          <c:tx>
            <c:v>l8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Pointer!$AY$97:$AZ$97</c:f>
              <c:numCache/>
            </c:numRef>
          </c:xVal>
          <c:yVal>
            <c:numRef>
              <c:f>Pointer!$BA$97:$BB$97</c:f>
              <c:numCache/>
            </c:numRef>
          </c:yVal>
          <c:smooth val="0"/>
        </c:ser>
        <c:ser>
          <c:idx val="30"/>
          <c:order val="30"/>
          <c:tx>
            <c:v>l9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Pointer!$AY$98:$AZ$98</c:f>
              <c:numCache/>
            </c:numRef>
          </c:xVal>
          <c:yVal>
            <c:numRef>
              <c:f>Pointer!$BA$98:$BB$98</c:f>
              <c:numCache/>
            </c:numRef>
          </c:yVal>
          <c:smooth val="0"/>
        </c:ser>
        <c:ser>
          <c:idx val="31"/>
          <c:order val="31"/>
          <c:tx>
            <c:v>l10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Pointer!$AY$99:$AZ$99</c:f>
              <c:numCache/>
            </c:numRef>
          </c:xVal>
          <c:yVal>
            <c:numRef>
              <c:f>Pointer!$BA$99:$BB$99</c:f>
              <c:numCache/>
            </c:numRef>
          </c:yVal>
          <c:smooth val="0"/>
        </c:ser>
        <c:ser>
          <c:idx val="32"/>
          <c:order val="32"/>
          <c:tx>
            <c:v>l11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Pointer!$AY$100:$AZ$100</c:f>
              <c:numCache/>
            </c:numRef>
          </c:xVal>
          <c:yVal>
            <c:numRef>
              <c:f>Pointer!$BA$100:$BB$100</c:f>
              <c:numCache/>
            </c:numRef>
          </c:yVal>
          <c:smooth val="0"/>
        </c:ser>
        <c:ser>
          <c:idx val="33"/>
          <c:order val="33"/>
          <c:tx>
            <c:v>l12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Pointer!$AY$101:$AZ$101</c:f>
              <c:numCache/>
            </c:numRef>
          </c:xVal>
          <c:yVal>
            <c:numRef>
              <c:f>Pointer!$BA$101:$BB$101</c:f>
              <c:numCache/>
            </c:numRef>
          </c:yVal>
          <c:smooth val="0"/>
        </c:ser>
        <c:ser>
          <c:idx val="34"/>
          <c:order val="34"/>
          <c:tx>
            <c:v>l13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Pointer!$AY$102:$AZ$102</c:f>
              <c:numCache/>
            </c:numRef>
          </c:xVal>
          <c:yVal>
            <c:numRef>
              <c:f>Pointer!$BA$102:$BB$102</c:f>
              <c:numCache/>
            </c:numRef>
          </c:yVal>
          <c:smooth val="0"/>
        </c:ser>
        <c:ser>
          <c:idx val="35"/>
          <c:order val="35"/>
          <c:tx>
            <c:v>l14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Pointer!$AY$103:$AZ$103</c:f>
              <c:numCache/>
            </c:numRef>
          </c:xVal>
          <c:yVal>
            <c:numRef>
              <c:f>Pointer!$BA$103:$BB$103</c:f>
              <c:numCache/>
            </c:numRef>
          </c:yVal>
          <c:smooth val="0"/>
        </c:ser>
        <c:ser>
          <c:idx val="36"/>
          <c:order val="36"/>
          <c:tx>
            <c:v>l15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Pointer!$AY$104:$AZ$104</c:f>
              <c:numCache/>
            </c:numRef>
          </c:xVal>
          <c:yVal>
            <c:numRef>
              <c:f>Pointer!$BA$104:$BB$104</c:f>
              <c:numCache/>
            </c:numRef>
          </c:yVal>
          <c:smooth val="0"/>
        </c:ser>
        <c:ser>
          <c:idx val="37"/>
          <c:order val="37"/>
          <c:tx>
            <c:v>l16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Pointer!$AY$105:$AZ$105</c:f>
              <c:numCache/>
            </c:numRef>
          </c:xVal>
          <c:yVal>
            <c:numRef>
              <c:f>Pointer!$BA$105:$BB$105</c:f>
              <c:numCache/>
            </c:numRef>
          </c:yVal>
          <c:smooth val="0"/>
        </c:ser>
        <c:ser>
          <c:idx val="38"/>
          <c:order val="38"/>
          <c:tx>
            <c:v>l17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Pointer!$AY$106:$AZ$106</c:f>
              <c:numCache/>
            </c:numRef>
          </c:xVal>
          <c:yVal>
            <c:numRef>
              <c:f>Pointer!$BA$106:$BB$106</c:f>
              <c:numCache/>
            </c:numRef>
          </c:yVal>
          <c:smooth val="0"/>
        </c:ser>
        <c:ser>
          <c:idx val="39"/>
          <c:order val="39"/>
          <c:tx>
            <c:v>l18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Pointer!$AY$107:$AZ$107</c:f>
              <c:numCache/>
            </c:numRef>
          </c:xVal>
          <c:yVal>
            <c:numRef>
              <c:f>Pointer!$BA$107:$BB$107</c:f>
              <c:numCache/>
            </c:numRef>
          </c:yVal>
          <c:smooth val="0"/>
        </c:ser>
        <c:ser>
          <c:idx val="40"/>
          <c:order val="40"/>
          <c:tx>
            <c:v>l19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Pointer!$AY$108:$AZ$108</c:f>
              <c:numCache/>
            </c:numRef>
          </c:xVal>
          <c:yVal>
            <c:numRef>
              <c:f>Pointer!$BA$108:$BB$108</c:f>
              <c:numCache/>
            </c:numRef>
          </c:yVal>
          <c:smooth val="0"/>
        </c:ser>
        <c:ser>
          <c:idx val="41"/>
          <c:order val="41"/>
          <c:tx>
            <c:v>l20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Pointer!$AY$109:$AZ$109</c:f>
              <c:numCache/>
            </c:numRef>
          </c:xVal>
          <c:yVal>
            <c:numRef>
              <c:f>Pointer!$BA$109:$BB$109</c:f>
              <c:numCache/>
            </c:numRef>
          </c:yVal>
          <c:smooth val="0"/>
        </c:ser>
        <c:ser>
          <c:idx val="42"/>
          <c:order val="42"/>
          <c:tx>
            <c:v>elem15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Pointer!$AF$104:$AL$104</c:f>
              <c:numCache/>
            </c:numRef>
          </c:xVal>
          <c:yVal>
            <c:numRef>
              <c:f>Pointer!$AO$104:$AU$104</c:f>
              <c:numCache/>
            </c:numRef>
          </c:yVal>
          <c:smooth val="0"/>
        </c:ser>
        <c:ser>
          <c:idx val="43"/>
          <c:order val="43"/>
          <c:tx>
            <c:v>elem16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Pointer!$AF$105:$AL$105</c:f>
              <c:numCache/>
            </c:numRef>
          </c:xVal>
          <c:yVal>
            <c:numRef>
              <c:f>Pointer!$AO$105:$AU$105</c:f>
              <c:numCache/>
            </c:numRef>
          </c:yVal>
          <c:smooth val="0"/>
        </c:ser>
        <c:ser>
          <c:idx val="44"/>
          <c:order val="44"/>
          <c:tx>
            <c:v>elem17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Pointer!$AF$106:$AL$106</c:f>
              <c:numCache/>
            </c:numRef>
          </c:xVal>
          <c:yVal>
            <c:numRef>
              <c:f>Pointer!$AO$106:$AU$106</c:f>
              <c:numCache/>
            </c:numRef>
          </c:yVal>
          <c:smooth val="0"/>
        </c:ser>
        <c:ser>
          <c:idx val="45"/>
          <c:order val="45"/>
          <c:tx>
            <c:v>elem18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Pointer!$AF$107:$AL$107</c:f>
              <c:numCache/>
            </c:numRef>
          </c:xVal>
          <c:yVal>
            <c:numRef>
              <c:f>Pointer!$AO$107:$AU$107</c:f>
              <c:numCache/>
            </c:numRef>
          </c:yVal>
          <c:smooth val="0"/>
        </c:ser>
        <c:ser>
          <c:idx val="46"/>
          <c:order val="46"/>
          <c:tx>
            <c:v>elem19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Pointer!$AF$108:$AL$108</c:f>
              <c:numCache/>
            </c:numRef>
          </c:xVal>
          <c:yVal>
            <c:numRef>
              <c:f>Pointer!$AO$108:$AU$108</c:f>
              <c:numCache/>
            </c:numRef>
          </c:yVal>
          <c:smooth val="0"/>
        </c:ser>
        <c:ser>
          <c:idx val="47"/>
          <c:order val="47"/>
          <c:tx>
            <c:v>elem20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Pointer!$AF$109:$AL$109</c:f>
              <c:numCache/>
            </c:numRef>
          </c:xVal>
          <c:yVal>
            <c:numRef>
              <c:f>Pointer!$AO$109:$AU$109</c:f>
              <c:numCache/>
            </c:numRef>
          </c:yVal>
          <c:smooth val="0"/>
        </c:ser>
        <c:ser>
          <c:idx val="48"/>
          <c:order val="48"/>
          <c:tx>
            <c:v>arrayzp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Pointer!$BH$109</c:f>
              <c:numCache/>
            </c:numRef>
          </c:xVal>
          <c:yVal>
            <c:numRef>
              <c:f>Pointer!$BI$109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36060902"/>
        <c:axId val="56112663"/>
      </c:scatterChart>
      <c:val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56112663"/>
        <c:crosses val="max"/>
        <c:crossBetween val="midCat"/>
        <c:dispUnits/>
        <c:majorUnit val="5"/>
      </c:valAx>
      <c:valAx>
        <c:axId val="5611266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</a:defRPr>
            </a:pPr>
          </a:p>
        </c:txPr>
        <c:crossAx val="36060902"/>
        <c:crosses val="max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2.emf" /><Relationship Id="rId3" Type="http://schemas.openxmlformats.org/officeDocument/2006/relationships/image" Target="../media/image21.emf" /><Relationship Id="rId4" Type="http://schemas.openxmlformats.org/officeDocument/2006/relationships/image" Target="../media/image18.emf" /><Relationship Id="rId5" Type="http://schemas.openxmlformats.org/officeDocument/2006/relationships/image" Target="../media/image9.emf" /><Relationship Id="rId6" Type="http://schemas.openxmlformats.org/officeDocument/2006/relationships/image" Target="../media/image30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Relationship Id="rId9" Type="http://schemas.openxmlformats.org/officeDocument/2006/relationships/image" Target="../media/image38.emf" /><Relationship Id="rId10" Type="http://schemas.openxmlformats.org/officeDocument/2006/relationships/image" Target="../media/image20.emf" /><Relationship Id="rId11" Type="http://schemas.openxmlformats.org/officeDocument/2006/relationships/image" Target="../media/image32.emf" /><Relationship Id="rId12" Type="http://schemas.openxmlformats.org/officeDocument/2006/relationships/image" Target="../media/image36.emf" /><Relationship Id="rId13" Type="http://schemas.openxmlformats.org/officeDocument/2006/relationships/image" Target="../media/image10.emf" /><Relationship Id="rId14" Type="http://schemas.openxmlformats.org/officeDocument/2006/relationships/image" Target="../media/image4.emf" /><Relationship Id="rId15" Type="http://schemas.openxmlformats.org/officeDocument/2006/relationships/image" Target="../media/image23.emf" /><Relationship Id="rId16" Type="http://schemas.openxmlformats.org/officeDocument/2006/relationships/image" Target="../media/image5.emf" /><Relationship Id="rId17" Type="http://schemas.openxmlformats.org/officeDocument/2006/relationships/image" Target="../media/image8.emf" /><Relationship Id="rId18" Type="http://schemas.openxmlformats.org/officeDocument/2006/relationships/image" Target="../media/image37.emf" /><Relationship Id="rId19" Type="http://schemas.openxmlformats.org/officeDocument/2006/relationships/image" Target="../media/image2.emf" /><Relationship Id="rId20" Type="http://schemas.openxmlformats.org/officeDocument/2006/relationships/image" Target="../media/image24.emf" /><Relationship Id="rId21" Type="http://schemas.openxmlformats.org/officeDocument/2006/relationships/image" Target="../media/image19.emf" /><Relationship Id="rId22" Type="http://schemas.openxmlformats.org/officeDocument/2006/relationships/image" Target="../media/image26.emf" /><Relationship Id="rId23" Type="http://schemas.openxmlformats.org/officeDocument/2006/relationships/image" Target="../media/image17.emf" /><Relationship Id="rId24" Type="http://schemas.openxmlformats.org/officeDocument/2006/relationships/image" Target="../media/image35.emf" /><Relationship Id="rId25" Type="http://schemas.openxmlformats.org/officeDocument/2006/relationships/image" Target="../media/image22.emf" /><Relationship Id="rId26" Type="http://schemas.openxmlformats.org/officeDocument/2006/relationships/image" Target="../media/image14.emf" /><Relationship Id="rId27" Type="http://schemas.openxmlformats.org/officeDocument/2006/relationships/image" Target="../media/image13.emf" /><Relationship Id="rId28" Type="http://schemas.openxmlformats.org/officeDocument/2006/relationships/image" Target="../media/image27.emf" /><Relationship Id="rId29" Type="http://schemas.openxmlformats.org/officeDocument/2006/relationships/image" Target="../media/image39.emf" /><Relationship Id="rId30" Type="http://schemas.openxmlformats.org/officeDocument/2006/relationships/image" Target="../media/image31.emf" /><Relationship Id="rId31" Type="http://schemas.openxmlformats.org/officeDocument/2006/relationships/image" Target="../media/image29.emf" /><Relationship Id="rId32" Type="http://schemas.openxmlformats.org/officeDocument/2006/relationships/image" Target="../media/image28.emf" /><Relationship Id="rId33" Type="http://schemas.openxmlformats.org/officeDocument/2006/relationships/image" Target="../media/image25.emf" /><Relationship Id="rId34" Type="http://schemas.openxmlformats.org/officeDocument/2006/relationships/image" Target="../media/image1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171450</xdr:rowOff>
    </xdr:from>
    <xdr:to>
      <xdr:col>1</xdr:col>
      <xdr:colOff>285750</xdr:colOff>
      <xdr:row>3</xdr:row>
      <xdr:rowOff>85725</xdr:rowOff>
    </xdr:to>
    <xdr:sp>
      <xdr:nvSpPr>
        <xdr:cNvPr id="1" name="Line 39"/>
        <xdr:cNvSpPr>
          <a:spLocks/>
        </xdr:cNvSpPr>
      </xdr:nvSpPr>
      <xdr:spPr>
        <a:xfrm>
          <a:off x="1400175" y="457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25</xdr:row>
      <xdr:rowOff>95250</xdr:rowOff>
    </xdr:from>
    <xdr:to>
      <xdr:col>1</xdr:col>
      <xdr:colOff>276225</xdr:colOff>
      <xdr:row>25</xdr:row>
      <xdr:rowOff>95250</xdr:rowOff>
    </xdr:to>
    <xdr:sp>
      <xdr:nvSpPr>
        <xdr:cNvPr id="2" name="Line 43"/>
        <xdr:cNvSpPr>
          <a:spLocks/>
        </xdr:cNvSpPr>
      </xdr:nvSpPr>
      <xdr:spPr>
        <a:xfrm>
          <a:off x="657225" y="43815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95250</xdr:rowOff>
    </xdr:from>
    <xdr:to>
      <xdr:col>1</xdr:col>
      <xdr:colOff>276225</xdr:colOff>
      <xdr:row>26</xdr:row>
      <xdr:rowOff>85725</xdr:rowOff>
    </xdr:to>
    <xdr:sp>
      <xdr:nvSpPr>
        <xdr:cNvPr id="3" name="Line 44"/>
        <xdr:cNvSpPr>
          <a:spLocks/>
        </xdr:cNvSpPr>
      </xdr:nvSpPr>
      <xdr:spPr>
        <a:xfrm>
          <a:off x="1390650" y="43815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1</xdr:row>
      <xdr:rowOff>85725</xdr:rowOff>
    </xdr:from>
    <xdr:to>
      <xdr:col>19</xdr:col>
      <xdr:colOff>419100</xdr:colOff>
      <xdr:row>22</xdr:row>
      <xdr:rowOff>114300</xdr:rowOff>
    </xdr:to>
    <xdr:graphicFrame>
      <xdr:nvGraphicFramePr>
        <xdr:cNvPr id="4" name="Chart 95"/>
        <xdr:cNvGraphicFramePr/>
      </xdr:nvGraphicFramePr>
      <xdr:xfrm>
        <a:off x="3371850" y="371475"/>
        <a:ext cx="68865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4</xdr:row>
      <xdr:rowOff>85725</xdr:rowOff>
    </xdr:from>
    <xdr:to>
      <xdr:col>8</xdr:col>
      <xdr:colOff>28575</xdr:colOff>
      <xdr:row>5</xdr:row>
      <xdr:rowOff>95250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8953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85725</xdr:rowOff>
    </xdr:from>
    <xdr:to>
      <xdr:col>8</xdr:col>
      <xdr:colOff>28575</xdr:colOff>
      <xdr:row>6</xdr:row>
      <xdr:rowOff>104775</xdr:rowOff>
    </xdr:to>
    <xdr:pic>
      <xdr:nvPicPr>
        <xdr:cNvPr id="6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52725" y="1066800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85725</xdr:rowOff>
    </xdr:from>
    <xdr:to>
      <xdr:col>8</xdr:col>
      <xdr:colOff>28575</xdr:colOff>
      <xdr:row>7</xdr:row>
      <xdr:rowOff>95250</xdr:rowOff>
    </xdr:to>
    <xdr:pic>
      <xdr:nvPicPr>
        <xdr:cNvPr id="7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12382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85725</xdr:rowOff>
    </xdr:from>
    <xdr:to>
      <xdr:col>8</xdr:col>
      <xdr:colOff>28575</xdr:colOff>
      <xdr:row>8</xdr:row>
      <xdr:rowOff>85725</xdr:rowOff>
    </xdr:to>
    <xdr:pic>
      <xdr:nvPicPr>
        <xdr:cNvPr id="8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52725" y="1409700"/>
          <a:ext cx="542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76200</xdr:rowOff>
    </xdr:from>
    <xdr:to>
      <xdr:col>8</xdr:col>
      <xdr:colOff>28575</xdr:colOff>
      <xdr:row>9</xdr:row>
      <xdr:rowOff>85725</xdr:rowOff>
    </xdr:to>
    <xdr:pic>
      <xdr:nvPicPr>
        <xdr:cNvPr id="9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52725" y="15716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76200</xdr:rowOff>
    </xdr:from>
    <xdr:to>
      <xdr:col>8</xdr:col>
      <xdr:colOff>28575</xdr:colOff>
      <xdr:row>10</xdr:row>
      <xdr:rowOff>85725</xdr:rowOff>
    </xdr:to>
    <xdr:pic>
      <xdr:nvPicPr>
        <xdr:cNvPr id="10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52725" y="174307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76200</xdr:rowOff>
    </xdr:from>
    <xdr:to>
      <xdr:col>8</xdr:col>
      <xdr:colOff>28575</xdr:colOff>
      <xdr:row>11</xdr:row>
      <xdr:rowOff>85725</xdr:rowOff>
    </xdr:to>
    <xdr:pic>
      <xdr:nvPicPr>
        <xdr:cNvPr id="11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52725" y="191452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76200</xdr:rowOff>
    </xdr:from>
    <xdr:to>
      <xdr:col>8</xdr:col>
      <xdr:colOff>28575</xdr:colOff>
      <xdr:row>12</xdr:row>
      <xdr:rowOff>104775</xdr:rowOff>
    </xdr:to>
    <xdr:pic>
      <xdr:nvPicPr>
        <xdr:cNvPr id="12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52725" y="2085975"/>
          <a:ext cx="542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85725</xdr:rowOff>
    </xdr:from>
    <xdr:to>
      <xdr:col>8</xdr:col>
      <xdr:colOff>28575</xdr:colOff>
      <xdr:row>13</xdr:row>
      <xdr:rowOff>95250</xdr:rowOff>
    </xdr:to>
    <xdr:pic>
      <xdr:nvPicPr>
        <xdr:cNvPr id="13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52725" y="22669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85725</xdr:rowOff>
    </xdr:from>
    <xdr:to>
      <xdr:col>8</xdr:col>
      <xdr:colOff>28575</xdr:colOff>
      <xdr:row>14</xdr:row>
      <xdr:rowOff>95250</xdr:rowOff>
    </xdr:to>
    <xdr:pic>
      <xdr:nvPicPr>
        <xdr:cNvPr id="14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52725" y="24384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85725</xdr:rowOff>
    </xdr:from>
    <xdr:to>
      <xdr:col>8</xdr:col>
      <xdr:colOff>28575</xdr:colOff>
      <xdr:row>4</xdr:row>
      <xdr:rowOff>95250</xdr:rowOff>
    </xdr:to>
    <xdr:pic>
      <xdr:nvPicPr>
        <xdr:cNvPr id="15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752725" y="7239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142875</xdr:rowOff>
    </xdr:from>
    <xdr:to>
      <xdr:col>1</xdr:col>
      <xdr:colOff>171450</xdr:colOff>
      <xdr:row>29</xdr:row>
      <xdr:rowOff>38100</xdr:rowOff>
    </xdr:to>
    <xdr:pic>
      <xdr:nvPicPr>
        <xdr:cNvPr id="16" name="SpinButton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23950" y="47720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0</xdr:colOff>
      <xdr:row>3</xdr:row>
      <xdr:rowOff>0</xdr:rowOff>
    </xdr:from>
    <xdr:to>
      <xdr:col>6</xdr:col>
      <xdr:colOff>9525</xdr:colOff>
      <xdr:row>4</xdr:row>
      <xdr:rowOff>9525</xdr:rowOff>
    </xdr:to>
    <xdr:pic>
      <xdr:nvPicPr>
        <xdr:cNvPr id="17" name="ComboBox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200275" y="63817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9525</xdr:colOff>
      <xdr:row>5</xdr:row>
      <xdr:rowOff>9525</xdr:rowOff>
    </xdr:to>
    <xdr:pic>
      <xdr:nvPicPr>
        <xdr:cNvPr id="18" name="ComboBox1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2200275" y="8096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6</xdr:col>
      <xdr:colOff>9525</xdr:colOff>
      <xdr:row>6</xdr:row>
      <xdr:rowOff>9525</xdr:rowOff>
    </xdr:to>
    <xdr:pic>
      <xdr:nvPicPr>
        <xdr:cNvPr id="19" name="ComboBox14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200275" y="98107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9525</xdr:colOff>
      <xdr:row>7</xdr:row>
      <xdr:rowOff>9525</xdr:rowOff>
    </xdr:to>
    <xdr:pic>
      <xdr:nvPicPr>
        <xdr:cNvPr id="20" name="ComboBox15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200275" y="11525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9525</xdr:colOff>
      <xdr:row>8</xdr:row>
      <xdr:rowOff>0</xdr:rowOff>
    </xdr:to>
    <xdr:pic>
      <xdr:nvPicPr>
        <xdr:cNvPr id="21" name="Combo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00275" y="13239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9525</xdr:colOff>
      <xdr:row>9</xdr:row>
      <xdr:rowOff>0</xdr:rowOff>
    </xdr:to>
    <xdr:pic>
      <xdr:nvPicPr>
        <xdr:cNvPr id="22" name="Combo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00275" y="149542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10</xdr:row>
      <xdr:rowOff>0</xdr:rowOff>
    </xdr:to>
    <xdr:pic>
      <xdr:nvPicPr>
        <xdr:cNvPr id="23" name="ComboBox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00275" y="16668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161925</xdr:rowOff>
    </xdr:from>
    <xdr:to>
      <xdr:col>6</xdr:col>
      <xdr:colOff>9525</xdr:colOff>
      <xdr:row>11</xdr:row>
      <xdr:rowOff>0</xdr:rowOff>
    </xdr:to>
    <xdr:pic>
      <xdr:nvPicPr>
        <xdr:cNvPr id="24" name="ComboBox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00275" y="1828800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12</xdr:row>
      <xdr:rowOff>9525</xdr:rowOff>
    </xdr:to>
    <xdr:pic>
      <xdr:nvPicPr>
        <xdr:cNvPr id="25" name="ComboBox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200275" y="200977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9525</xdr:colOff>
      <xdr:row>13</xdr:row>
      <xdr:rowOff>0</xdr:rowOff>
    </xdr:to>
    <xdr:pic>
      <xdr:nvPicPr>
        <xdr:cNvPr id="26" name="ComboBox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200275" y="218122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9525</xdr:colOff>
      <xdr:row>14</xdr:row>
      <xdr:rowOff>0</xdr:rowOff>
    </xdr:to>
    <xdr:pic>
      <xdr:nvPicPr>
        <xdr:cNvPr id="27" name="ComboBox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00275" y="2352675"/>
          <a:ext cx="561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9525</xdr:colOff>
      <xdr:row>15</xdr:row>
      <xdr:rowOff>9525</xdr:rowOff>
    </xdr:to>
    <xdr:pic>
      <xdr:nvPicPr>
        <xdr:cNvPr id="28" name="ComboBox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200275" y="25241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6</xdr:col>
      <xdr:colOff>9525</xdr:colOff>
      <xdr:row>16</xdr:row>
      <xdr:rowOff>9525</xdr:rowOff>
    </xdr:to>
    <xdr:pic>
      <xdr:nvPicPr>
        <xdr:cNvPr id="29" name="ComboBox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0275" y="269557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9525</xdr:colOff>
      <xdr:row>17</xdr:row>
      <xdr:rowOff>9525</xdr:rowOff>
    </xdr:to>
    <xdr:pic>
      <xdr:nvPicPr>
        <xdr:cNvPr id="30" name="ComboBox2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0275" y="28670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6</xdr:col>
      <xdr:colOff>9525</xdr:colOff>
      <xdr:row>18</xdr:row>
      <xdr:rowOff>9525</xdr:rowOff>
    </xdr:to>
    <xdr:pic>
      <xdr:nvPicPr>
        <xdr:cNvPr id="31" name="Combo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0275" y="303847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9525</xdr:colOff>
      <xdr:row>19</xdr:row>
      <xdr:rowOff>9525</xdr:rowOff>
    </xdr:to>
    <xdr:pic>
      <xdr:nvPicPr>
        <xdr:cNvPr id="32" name="Combo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0275" y="32099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9525</xdr:colOff>
      <xdr:row>20</xdr:row>
      <xdr:rowOff>9525</xdr:rowOff>
    </xdr:to>
    <xdr:pic>
      <xdr:nvPicPr>
        <xdr:cNvPr id="33" name="ComboBox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0275" y="338137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6</xdr:col>
      <xdr:colOff>9525</xdr:colOff>
      <xdr:row>21</xdr:row>
      <xdr:rowOff>9525</xdr:rowOff>
    </xdr:to>
    <xdr:pic>
      <xdr:nvPicPr>
        <xdr:cNvPr id="34" name="ComboBox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0275" y="35528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9525</xdr:colOff>
      <xdr:row>22</xdr:row>
      <xdr:rowOff>9525</xdr:rowOff>
    </xdr:to>
    <xdr:pic>
      <xdr:nvPicPr>
        <xdr:cNvPr id="35" name="ComboBox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0275" y="372427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9525</xdr:colOff>
      <xdr:row>23</xdr:row>
      <xdr:rowOff>9525</xdr:rowOff>
    </xdr:to>
    <xdr:pic>
      <xdr:nvPicPr>
        <xdr:cNvPr id="36" name="ComboBox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200275" y="3895725"/>
          <a:ext cx="561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</xdr:row>
      <xdr:rowOff>85725</xdr:rowOff>
    </xdr:from>
    <xdr:to>
      <xdr:col>8</xdr:col>
      <xdr:colOff>28575</xdr:colOff>
      <xdr:row>15</xdr:row>
      <xdr:rowOff>95250</xdr:rowOff>
    </xdr:to>
    <xdr:pic>
      <xdr:nvPicPr>
        <xdr:cNvPr id="37" name="ComboBox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752725" y="26098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</xdr:row>
      <xdr:rowOff>85725</xdr:rowOff>
    </xdr:from>
    <xdr:to>
      <xdr:col>8</xdr:col>
      <xdr:colOff>28575</xdr:colOff>
      <xdr:row>16</xdr:row>
      <xdr:rowOff>95250</xdr:rowOff>
    </xdr:to>
    <xdr:pic>
      <xdr:nvPicPr>
        <xdr:cNvPr id="38" name="ComboBox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752725" y="27813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</xdr:row>
      <xdr:rowOff>85725</xdr:rowOff>
    </xdr:from>
    <xdr:to>
      <xdr:col>8</xdr:col>
      <xdr:colOff>28575</xdr:colOff>
      <xdr:row>17</xdr:row>
      <xdr:rowOff>95250</xdr:rowOff>
    </xdr:to>
    <xdr:pic>
      <xdr:nvPicPr>
        <xdr:cNvPr id="39" name="ComboBox3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752725" y="29527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85725</xdr:rowOff>
    </xdr:from>
    <xdr:to>
      <xdr:col>8</xdr:col>
      <xdr:colOff>28575</xdr:colOff>
      <xdr:row>18</xdr:row>
      <xdr:rowOff>95250</xdr:rowOff>
    </xdr:to>
    <xdr:pic>
      <xdr:nvPicPr>
        <xdr:cNvPr id="40" name="ComboBox3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52725" y="31242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85725</xdr:rowOff>
    </xdr:from>
    <xdr:to>
      <xdr:col>8</xdr:col>
      <xdr:colOff>28575</xdr:colOff>
      <xdr:row>19</xdr:row>
      <xdr:rowOff>95250</xdr:rowOff>
    </xdr:to>
    <xdr:pic>
      <xdr:nvPicPr>
        <xdr:cNvPr id="41" name="ComboBox36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752725" y="32956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85725</xdr:rowOff>
    </xdr:from>
    <xdr:to>
      <xdr:col>8</xdr:col>
      <xdr:colOff>28575</xdr:colOff>
      <xdr:row>20</xdr:row>
      <xdr:rowOff>95250</xdr:rowOff>
    </xdr:to>
    <xdr:pic>
      <xdr:nvPicPr>
        <xdr:cNvPr id="42" name="ComboBox3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752725" y="34671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85725</xdr:rowOff>
    </xdr:from>
    <xdr:to>
      <xdr:col>8</xdr:col>
      <xdr:colOff>28575</xdr:colOff>
      <xdr:row>21</xdr:row>
      <xdr:rowOff>95250</xdr:rowOff>
    </xdr:to>
    <xdr:pic>
      <xdr:nvPicPr>
        <xdr:cNvPr id="43" name="ComboBox38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752725" y="363855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85725</xdr:rowOff>
    </xdr:from>
    <xdr:to>
      <xdr:col>8</xdr:col>
      <xdr:colOff>28575</xdr:colOff>
      <xdr:row>22</xdr:row>
      <xdr:rowOff>95250</xdr:rowOff>
    </xdr:to>
    <xdr:pic>
      <xdr:nvPicPr>
        <xdr:cNvPr id="44" name="ComboBox39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52725" y="3810000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J111"/>
  <sheetViews>
    <sheetView tabSelected="1" zoomScale="90" zoomScaleNormal="90" zoomScalePageLayoutView="0" workbookViewId="0" topLeftCell="A1">
      <selection activeCell="G29" sqref="G29"/>
    </sheetView>
  </sheetViews>
  <sheetFormatPr defaultColWidth="8.8515625" defaultRowHeight="12.75"/>
  <cols>
    <col min="1" max="1" width="16.7109375" style="1" customWidth="1"/>
    <col min="2" max="2" width="10.7109375" style="1" customWidth="1"/>
    <col min="3" max="3" width="1.7109375" style="1" customWidth="1"/>
    <col min="4" max="4" width="0.85546875" style="1" customWidth="1"/>
    <col min="5" max="5" width="3.00390625" style="3" customWidth="1"/>
    <col min="6" max="6" width="8.28125" style="1" customWidth="1"/>
    <col min="7" max="7" width="6.28125" style="1" customWidth="1"/>
    <col min="8" max="8" width="1.421875" style="1" customWidth="1"/>
    <col min="9" max="9" width="2.140625" style="2" customWidth="1"/>
    <col min="10" max="10" width="8.140625" style="1" customWidth="1"/>
    <col min="11" max="11" width="14.7109375" style="1" customWidth="1"/>
    <col min="12" max="12" width="9.57421875" style="1" customWidth="1"/>
    <col min="13" max="13" width="10.57421875" style="1" customWidth="1"/>
    <col min="14" max="14" width="1.421875" style="1" customWidth="1"/>
    <col min="15" max="15" width="1.8515625" style="1" customWidth="1"/>
    <col min="16" max="16" width="23.57421875" style="1" customWidth="1"/>
    <col min="17" max="16384" width="8.8515625" style="1" customWidth="1"/>
  </cols>
  <sheetData>
    <row r="1" spans="2:21" ht="22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 t="s">
        <v>23</v>
      </c>
      <c r="M1" s="13"/>
      <c r="N1" s="13"/>
      <c r="O1" s="13"/>
      <c r="P1" s="13"/>
      <c r="Q1" s="13"/>
      <c r="R1" s="13"/>
      <c r="S1" s="13"/>
      <c r="T1" s="13"/>
      <c r="U1" s="13"/>
    </row>
    <row r="2" spans="1:8" ht="14.25">
      <c r="A2" s="4" t="s">
        <v>13</v>
      </c>
      <c r="B2" s="5"/>
      <c r="C2" s="5"/>
      <c r="D2" s="3"/>
      <c r="F2" s="14" t="s">
        <v>20</v>
      </c>
      <c r="G2" s="40" t="s">
        <v>15</v>
      </c>
      <c r="H2" s="40"/>
    </row>
    <row r="3" spans="1:8" ht="13.5" customHeight="1">
      <c r="A3" s="5"/>
      <c r="B3" s="5"/>
      <c r="C3" s="5"/>
      <c r="F3" s="14"/>
      <c r="G3" s="40"/>
      <c r="H3" s="40"/>
    </row>
    <row r="4" spans="1:6" ht="13.5" customHeight="1">
      <c r="A4" s="6" t="s">
        <v>12</v>
      </c>
      <c r="B4" s="5"/>
      <c r="C4" s="5"/>
      <c r="E4" s="20">
        <v>1</v>
      </c>
      <c r="F4" s="15" t="s">
        <v>22</v>
      </c>
    </row>
    <row r="5" spans="1:7" ht="13.5" customHeight="1">
      <c r="A5" s="5" t="s">
        <v>6</v>
      </c>
      <c r="B5" s="9">
        <v>20</v>
      </c>
      <c r="C5" s="5"/>
      <c r="E5" s="21">
        <v>2</v>
      </c>
      <c r="F5" s="15" t="s">
        <v>22</v>
      </c>
      <c r="G5" s="16" t="s">
        <v>63</v>
      </c>
    </row>
    <row r="6" spans="1:7" ht="13.5" customHeight="1">
      <c r="A6" s="5" t="s">
        <v>0</v>
      </c>
      <c r="B6" s="9">
        <v>1</v>
      </c>
      <c r="C6" s="5"/>
      <c r="E6" s="21">
        <v>3</v>
      </c>
      <c r="F6" s="15" t="s">
        <v>22</v>
      </c>
      <c r="G6" s="16" t="s">
        <v>63</v>
      </c>
    </row>
    <row r="7" spans="1:7" ht="13.5" customHeight="1">
      <c r="A7" s="5" t="s">
        <v>1</v>
      </c>
      <c r="B7" s="9">
        <v>20</v>
      </c>
      <c r="C7" s="5"/>
      <c r="E7" s="21">
        <v>4</v>
      </c>
      <c r="F7" s="15" t="s">
        <v>22</v>
      </c>
      <c r="G7" s="16" t="s">
        <v>64</v>
      </c>
    </row>
    <row r="8" spans="1:7" ht="13.5" customHeight="1">
      <c r="A8" s="5" t="s">
        <v>2</v>
      </c>
      <c r="B8" s="9">
        <v>1</v>
      </c>
      <c r="C8" s="5"/>
      <c r="E8" s="21">
        <v>5</v>
      </c>
      <c r="F8" s="15" t="s">
        <v>22</v>
      </c>
      <c r="G8" s="16" t="s">
        <v>64</v>
      </c>
    </row>
    <row r="9" spans="1:7" ht="13.5" customHeight="1">
      <c r="A9" s="5" t="s">
        <v>3</v>
      </c>
      <c r="B9" s="10">
        <v>1.8</v>
      </c>
      <c r="C9" s="5"/>
      <c r="E9" s="21">
        <v>6</v>
      </c>
      <c r="F9" s="15" t="s">
        <v>22</v>
      </c>
      <c r="G9" s="16" t="s">
        <v>65</v>
      </c>
    </row>
    <row r="10" spans="1:7" ht="13.5" customHeight="1">
      <c r="A10" s="5"/>
      <c r="B10" s="5"/>
      <c r="C10" s="5"/>
      <c r="E10" s="21">
        <v>7</v>
      </c>
      <c r="F10" s="15" t="s">
        <v>22</v>
      </c>
      <c r="G10" s="16" t="s">
        <v>65</v>
      </c>
    </row>
    <row r="11" spans="1:7" ht="13.5" customHeight="1">
      <c r="A11" s="6" t="s">
        <v>4</v>
      </c>
      <c r="B11" s="5"/>
      <c r="C11" s="5"/>
      <c r="E11" s="21">
        <v>8</v>
      </c>
      <c r="F11" s="15" t="s">
        <v>22</v>
      </c>
      <c r="G11" s="16" t="s">
        <v>64</v>
      </c>
    </row>
    <row r="12" spans="1:7" ht="13.5" customHeight="1">
      <c r="A12" s="5" t="s">
        <v>7</v>
      </c>
      <c r="B12" s="9"/>
      <c r="C12" s="5"/>
      <c r="E12" s="21">
        <v>9</v>
      </c>
      <c r="F12" s="15" t="s">
        <v>22</v>
      </c>
      <c r="G12" s="16" t="s">
        <v>64</v>
      </c>
    </row>
    <row r="13" spans="1:7" ht="13.5" customHeight="1">
      <c r="A13" s="5" t="s">
        <v>8</v>
      </c>
      <c r="B13" s="9"/>
      <c r="C13" s="5"/>
      <c r="E13" s="21">
        <v>10</v>
      </c>
      <c r="F13" s="15" t="s">
        <v>22</v>
      </c>
      <c r="G13" s="16" t="s">
        <v>65</v>
      </c>
    </row>
    <row r="14" spans="1:7" ht="13.5" customHeight="1">
      <c r="A14" s="5" t="s">
        <v>9</v>
      </c>
      <c r="B14" s="9"/>
      <c r="C14" s="5"/>
      <c r="E14" s="21">
        <v>11</v>
      </c>
      <c r="F14" s="15" t="s">
        <v>22</v>
      </c>
      <c r="G14" s="16" t="s">
        <v>65</v>
      </c>
    </row>
    <row r="15" spans="1:7" ht="13.5" customHeight="1">
      <c r="A15" s="5" t="s">
        <v>5</v>
      </c>
      <c r="B15" s="9"/>
      <c r="C15" s="5"/>
      <c r="E15" s="21">
        <v>12</v>
      </c>
      <c r="F15" s="15" t="s">
        <v>22</v>
      </c>
      <c r="G15" s="16" t="s">
        <v>21</v>
      </c>
    </row>
    <row r="16" spans="1:7" ht="13.5" customHeight="1">
      <c r="A16" s="5"/>
      <c r="B16" s="5"/>
      <c r="C16" s="5"/>
      <c r="E16" s="21">
        <v>13</v>
      </c>
      <c r="F16" s="1" t="s">
        <v>67</v>
      </c>
      <c r="G16" s="16" t="s">
        <v>21</v>
      </c>
    </row>
    <row r="17" spans="1:7" ht="13.5" customHeight="1">
      <c r="A17" s="6" t="s">
        <v>10</v>
      </c>
      <c r="B17" s="5"/>
      <c r="C17" s="5"/>
      <c r="E17" s="21">
        <v>14</v>
      </c>
      <c r="F17" s="1" t="s">
        <v>67</v>
      </c>
      <c r="G17" s="17" t="s">
        <v>21</v>
      </c>
    </row>
    <row r="18" spans="1:7" ht="13.5" customHeight="1">
      <c r="A18" s="5" t="s">
        <v>7</v>
      </c>
      <c r="B18" s="9"/>
      <c r="C18" s="5"/>
      <c r="E18" s="21">
        <v>15</v>
      </c>
      <c r="F18" s="1" t="s">
        <v>67</v>
      </c>
      <c r="G18" s="18" t="s">
        <v>21</v>
      </c>
    </row>
    <row r="19" spans="1:7" ht="13.5" customHeight="1">
      <c r="A19" s="5" t="s">
        <v>8</v>
      </c>
      <c r="B19" s="9"/>
      <c r="C19" s="5"/>
      <c r="E19" s="21">
        <v>16</v>
      </c>
      <c r="F19" s="1" t="s">
        <v>67</v>
      </c>
      <c r="G19" s="1" t="s">
        <v>21</v>
      </c>
    </row>
    <row r="20" spans="1:7" ht="13.5" customHeight="1">
      <c r="A20" s="5" t="s">
        <v>9</v>
      </c>
      <c r="B20" s="9"/>
      <c r="C20" s="5"/>
      <c r="E20" s="21">
        <v>17</v>
      </c>
      <c r="F20" s="1" t="s">
        <v>67</v>
      </c>
      <c r="G20" s="1" t="s">
        <v>21</v>
      </c>
    </row>
    <row r="21" spans="1:7" ht="13.5" customHeight="1">
      <c r="A21" s="5" t="s">
        <v>5</v>
      </c>
      <c r="B21" s="9"/>
      <c r="C21" s="5"/>
      <c r="E21" s="21">
        <v>18</v>
      </c>
      <c r="F21" s="1" t="s">
        <v>67</v>
      </c>
      <c r="G21" s="1" t="s">
        <v>21</v>
      </c>
    </row>
    <row r="22" spans="1:7" ht="13.5" customHeight="1">
      <c r="A22" s="5"/>
      <c r="B22" s="5"/>
      <c r="C22" s="5"/>
      <c r="E22" s="21">
        <v>19</v>
      </c>
      <c r="F22" s="1" t="s">
        <v>67</v>
      </c>
      <c r="G22" s="1" t="s">
        <v>21</v>
      </c>
    </row>
    <row r="23" spans="1:7" ht="13.5" customHeight="1">
      <c r="A23" s="5" t="s">
        <v>3</v>
      </c>
      <c r="B23" s="10">
        <v>1</v>
      </c>
      <c r="C23" s="5"/>
      <c r="E23" s="21">
        <v>20</v>
      </c>
      <c r="F23" s="1" t="s">
        <v>67</v>
      </c>
      <c r="G23" s="17" t="s">
        <v>66</v>
      </c>
    </row>
    <row r="24" spans="1:5" ht="4.5" customHeight="1">
      <c r="A24" s="5"/>
      <c r="B24" s="5"/>
      <c r="C24" s="5"/>
      <c r="E24" s="19"/>
    </row>
    <row r="25" ht="12.75"/>
    <row r="26" spans="1:3" ht="14.25">
      <c r="A26" s="4" t="s">
        <v>18</v>
      </c>
      <c r="B26" s="5"/>
      <c r="C26" s="5"/>
    </row>
    <row r="27" spans="1:3" ht="12.75">
      <c r="A27" s="5"/>
      <c r="B27" s="5"/>
      <c r="C27" s="5"/>
    </row>
    <row r="28" spans="1:3" ht="12.75">
      <c r="A28" s="5" t="s">
        <v>78</v>
      </c>
      <c r="B28" s="11">
        <v>9</v>
      </c>
      <c r="C28" s="5"/>
    </row>
    <row r="29" spans="1:3" ht="12.75">
      <c r="A29" s="5" t="s">
        <v>19</v>
      </c>
      <c r="B29" s="12">
        <f>C29-45</f>
        <v>7</v>
      </c>
      <c r="C29" s="30">
        <v>52</v>
      </c>
    </row>
    <row r="30" spans="1:3" ht="12.75">
      <c r="A30" s="5" t="s">
        <v>11</v>
      </c>
      <c r="B30" s="9">
        <v>0</v>
      </c>
      <c r="C30" s="5"/>
    </row>
    <row r="31" spans="1:3" ht="6.75" customHeight="1">
      <c r="A31" s="5"/>
      <c r="B31" s="5"/>
      <c r="C31" s="5"/>
    </row>
    <row r="32" ht="12.75"/>
    <row r="33" spans="1:16" ht="14.25">
      <c r="A33" s="4" t="s">
        <v>25</v>
      </c>
      <c r="B33" s="5"/>
      <c r="C33" s="5"/>
      <c r="K33" s="4" t="s">
        <v>26</v>
      </c>
      <c r="L33" s="5"/>
      <c r="M33" s="5"/>
      <c r="N33" s="5"/>
      <c r="P33" s="29" t="s">
        <v>77</v>
      </c>
    </row>
    <row r="34" spans="1:16" ht="12.75">
      <c r="A34" s="5" t="s">
        <v>79</v>
      </c>
      <c r="B34" s="10">
        <f>MAXA(Pointer!AO89:AU89)</f>
        <v>9.151306604740343</v>
      </c>
      <c r="C34" s="5"/>
      <c r="F34" s="7"/>
      <c r="K34" s="5" t="s">
        <v>14</v>
      </c>
      <c r="L34" s="8">
        <f>Pointer!BD110</f>
        <v>940</v>
      </c>
      <c r="M34" s="22">
        <f>L34*2.203</f>
        <v>2070.8199999999997</v>
      </c>
      <c r="N34" s="5"/>
      <c r="P34" s="28" t="str">
        <f>IF(L34&lt;1550,"SAFE","OVERLOADED")</f>
        <v>SAFE</v>
      </c>
    </row>
    <row r="35" spans="1:16" ht="12.75">
      <c r="A35" s="5" t="s">
        <v>82</v>
      </c>
      <c r="B35" s="10">
        <f>B34-B38</f>
        <v>5.733782092686974</v>
      </c>
      <c r="C35" s="5"/>
      <c r="F35" s="7"/>
      <c r="K35" s="5" t="s">
        <v>16</v>
      </c>
      <c r="L35" s="8">
        <f>IF(Pointer!$BH$109&lt;Pointer!$AK$89,0,IF(Pointer!$BH$109&gt;Pointer!$AG$89,Pointer!$BG$109,(Pointer!$BH$109-Pointer!$AK$89)/(Pointer!$AG$89-Pointer!$AK$89)*Pointer!$BD$110))</f>
        <v>272.40838013556726</v>
      </c>
      <c r="M35" s="22">
        <f>L35*2.203</f>
        <v>600.1156614386546</v>
      </c>
      <c r="N35" s="5"/>
      <c r="P35" s="28">
        <f>IF(L35=0,"FRONT HOIST NOT LOADED","")</f>
      </c>
    </row>
    <row r="36" spans="1:16" ht="12.75">
      <c r="A36" s="5" t="s">
        <v>80</v>
      </c>
      <c r="B36" s="10">
        <f>Pointer!AM110</f>
        <v>0.5955276909847932</v>
      </c>
      <c r="C36" s="5"/>
      <c r="F36" s="7"/>
      <c r="K36" s="5" t="s">
        <v>17</v>
      </c>
      <c r="L36" s="8">
        <f>IF(Pointer!$BH$109&lt;Pointer!$AK$89,Pointer!$BG$109,IF(Pointer!$BH$109&gt;Pointer!$AG$89,0,(Pointer!$AG$89-Pointer!$BH$109)/(Pointer!$AG$89-Pointer!$AK$89)*Pointer!$BD$110))</f>
        <v>667.5916198644328</v>
      </c>
      <c r="M36" s="22">
        <f>L36*2.203</f>
        <v>1470.7043385613454</v>
      </c>
      <c r="N36" s="5"/>
      <c r="P36" s="28">
        <f>IF(L36=0,"REAR HOIST NOT LOADED","")</f>
      </c>
    </row>
    <row r="37" spans="1:16" ht="12.75">
      <c r="A37" s="5" t="s">
        <v>83</v>
      </c>
      <c r="B37" s="10">
        <f>MINA(Pointer!AF89:AL109)</f>
        <v>-1.41675585292252</v>
      </c>
      <c r="C37" s="5"/>
      <c r="F37" s="7"/>
      <c r="K37" s="5" t="s">
        <v>76</v>
      </c>
      <c r="L37" s="8">
        <f>IF(Pointer!$BD$110&gt;1000,2000,IF(Pointer!$BD$110&gt;500,1000,500))</f>
        <v>1000</v>
      </c>
      <c r="M37" s="22">
        <f>L37*2.203</f>
        <v>2203</v>
      </c>
      <c r="N37" s="5"/>
      <c r="P37" s="28"/>
    </row>
    <row r="38" spans="1:16" ht="12.75">
      <c r="A38" s="5" t="s">
        <v>81</v>
      </c>
      <c r="B38" s="10">
        <f>Pointer!AV110</f>
        <v>3.4175245120533693</v>
      </c>
      <c r="C38" s="5"/>
      <c r="F38" s="7"/>
      <c r="K38" s="5"/>
      <c r="N38" s="5"/>
      <c r="P38" s="28"/>
    </row>
    <row r="39" spans="1:16" ht="6.75" customHeight="1">
      <c r="A39" s="5"/>
      <c r="B39" s="5"/>
      <c r="C39" s="5"/>
      <c r="K39" s="5"/>
      <c r="L39" s="5"/>
      <c r="M39" s="5"/>
      <c r="N39" s="5"/>
      <c r="P39" s="28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spans="27:62" ht="12.75">
      <c r="AA60" s="33"/>
      <c r="AB60" s="31"/>
      <c r="AC60" s="33"/>
      <c r="AD60" s="32"/>
      <c r="AE60" s="33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3"/>
      <c r="BD60" s="33"/>
      <c r="BE60" s="33"/>
      <c r="BF60" s="33"/>
      <c r="BG60" s="33"/>
      <c r="BH60" s="33"/>
      <c r="BI60" s="33"/>
      <c r="BJ60" s="33"/>
    </row>
    <row r="61" spans="27:62" ht="12.75">
      <c r="AA61" s="33"/>
      <c r="AB61" s="31"/>
      <c r="AC61" s="33"/>
      <c r="AD61" s="32"/>
      <c r="AE61" s="33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3"/>
      <c r="BD61" s="33"/>
      <c r="BE61" s="33"/>
      <c r="BF61" s="33"/>
      <c r="BG61" s="33"/>
      <c r="BH61" s="33"/>
      <c r="BI61" s="33"/>
      <c r="BJ61" s="33"/>
    </row>
    <row r="62" spans="27:62" ht="12.75">
      <c r="AA62" s="33"/>
      <c r="AB62" s="31"/>
      <c r="AC62" s="33"/>
      <c r="AD62" s="32"/>
      <c r="AE62" s="33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3"/>
      <c r="BD62" s="33"/>
      <c r="BE62" s="33"/>
      <c r="BF62" s="33"/>
      <c r="BG62" s="33"/>
      <c r="BH62" s="33"/>
      <c r="BI62" s="33"/>
      <c r="BJ62" s="33"/>
    </row>
    <row r="63" spans="27:62" ht="12.75">
      <c r="AA63" s="33"/>
      <c r="AB63" s="31"/>
      <c r="AC63" s="33"/>
      <c r="AD63" s="32"/>
      <c r="AE63" s="33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3"/>
      <c r="BD63" s="33"/>
      <c r="BE63" s="33"/>
      <c r="BF63" s="33"/>
      <c r="BG63" s="33"/>
      <c r="BH63" s="33"/>
      <c r="BI63" s="33"/>
      <c r="BJ63" s="33"/>
    </row>
    <row r="64" spans="27:62" ht="12.75">
      <c r="AA64" s="33"/>
      <c r="AB64" s="31"/>
      <c r="AC64" s="33"/>
      <c r="AD64" s="32"/>
      <c r="AE64" s="33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3"/>
      <c r="BD64" s="33"/>
      <c r="BE64" s="33"/>
      <c r="BF64" s="33"/>
      <c r="BG64" s="33"/>
      <c r="BH64" s="33"/>
      <c r="BI64" s="33"/>
      <c r="BJ64" s="33"/>
    </row>
    <row r="65" spans="27:62" ht="12.75">
      <c r="AA65" s="24"/>
      <c r="AB65" s="31"/>
      <c r="AC65" s="27">
        <v>0</v>
      </c>
      <c r="AD65" s="32"/>
      <c r="AE65" s="33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3"/>
      <c r="BD65" s="33"/>
      <c r="BE65" s="33"/>
      <c r="BF65" s="33"/>
      <c r="BG65" s="33"/>
      <c r="BH65" s="33"/>
      <c r="BI65" s="33"/>
      <c r="BJ65" s="33"/>
    </row>
    <row r="66" spans="27:62" ht="12.75">
      <c r="AA66" s="25" t="s">
        <v>24</v>
      </c>
      <c r="AB66" s="31"/>
      <c r="AC66" s="23">
        <v>0.63</v>
      </c>
      <c r="AD66" s="32"/>
      <c r="AE66" s="33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3"/>
      <c r="BD66" s="33"/>
      <c r="BE66" s="33"/>
      <c r="BF66" s="33"/>
      <c r="BG66" s="33"/>
      <c r="BH66" s="33"/>
      <c r="BI66" s="33"/>
      <c r="BJ66" s="33"/>
    </row>
    <row r="67" spans="27:62" ht="12.75">
      <c r="AA67" s="26" t="s">
        <v>22</v>
      </c>
      <c r="AB67" s="31"/>
      <c r="AC67" s="23">
        <v>1.25</v>
      </c>
      <c r="AD67" s="32"/>
      <c r="AE67" s="33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3"/>
      <c r="BD67" s="33"/>
      <c r="BE67" s="33"/>
      <c r="BF67" s="33"/>
      <c r="BG67" s="33"/>
      <c r="BH67" s="33"/>
      <c r="BI67" s="33"/>
      <c r="BJ67" s="33"/>
    </row>
    <row r="68" spans="27:62" ht="12.75">
      <c r="AA68" s="33"/>
      <c r="AB68" s="31"/>
      <c r="AC68" s="23">
        <v>2.5</v>
      </c>
      <c r="AD68" s="32"/>
      <c r="AE68" s="33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3"/>
      <c r="BD68" s="33"/>
      <c r="BE68" s="33"/>
      <c r="BF68" s="33"/>
      <c r="BG68" s="33"/>
      <c r="BH68" s="33"/>
      <c r="BI68" s="33"/>
      <c r="BJ68" s="33"/>
    </row>
    <row r="69" spans="27:62" ht="12.75">
      <c r="AA69" s="33"/>
      <c r="AB69" s="31"/>
      <c r="AC69" s="23">
        <v>5</v>
      </c>
      <c r="AD69" s="32"/>
      <c r="AE69" s="33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3"/>
      <c r="BD69" s="33"/>
      <c r="BE69" s="33"/>
      <c r="BF69" s="33"/>
      <c r="BG69" s="33"/>
      <c r="BH69" s="33"/>
      <c r="BI69" s="33"/>
      <c r="BJ69" s="33"/>
    </row>
    <row r="70" spans="27:62" ht="12.75">
      <c r="AA70" s="33"/>
      <c r="AB70" s="31"/>
      <c r="AC70" s="33"/>
      <c r="AD70" s="32"/>
      <c r="AE70" s="33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3"/>
      <c r="BC70" s="33"/>
      <c r="BD70" s="33"/>
      <c r="BE70" s="33"/>
      <c r="BF70" s="33"/>
      <c r="BG70" s="33"/>
      <c r="BH70" s="33"/>
      <c r="BI70" s="33"/>
      <c r="BJ70" s="33"/>
    </row>
    <row r="71" spans="27:62" ht="12.75">
      <c r="AA71" s="33"/>
      <c r="AB71" s="31"/>
      <c r="AC71" s="33"/>
      <c r="AD71" s="32"/>
      <c r="AE71" s="33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3"/>
      <c r="BC71" s="33"/>
      <c r="BD71" s="33"/>
      <c r="BE71" s="33"/>
      <c r="BF71" s="33"/>
      <c r="BG71" s="33"/>
      <c r="BH71" s="33"/>
      <c r="BI71" s="33"/>
      <c r="BJ71" s="33"/>
    </row>
    <row r="72" spans="27:62" ht="12.75">
      <c r="AA72" s="33"/>
      <c r="AB72" s="31"/>
      <c r="AC72" s="33"/>
      <c r="AD72" s="32"/>
      <c r="AE72" s="33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3"/>
      <c r="BC72" s="33"/>
      <c r="BD72" s="33"/>
      <c r="BE72" s="33"/>
      <c r="BF72" s="33"/>
      <c r="BG72" s="33"/>
      <c r="BH72" s="33"/>
      <c r="BI72" s="33"/>
      <c r="BJ72" s="33"/>
    </row>
    <row r="73" spans="27:62" ht="12.75">
      <c r="AA73" s="33"/>
      <c r="AB73" s="31"/>
      <c r="AC73" s="33"/>
      <c r="AD73" s="32"/>
      <c r="AE73" s="33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3"/>
      <c r="BC73" s="33"/>
      <c r="BD73" s="33"/>
      <c r="BE73" s="33"/>
      <c r="BF73" s="33"/>
      <c r="BG73" s="33"/>
      <c r="BH73" s="33"/>
      <c r="BI73" s="33"/>
      <c r="BJ73" s="33"/>
    </row>
    <row r="74" spans="27:62" ht="12.75">
      <c r="AA74" s="33"/>
      <c r="AB74" s="31"/>
      <c r="AC74" s="33"/>
      <c r="AD74" s="32"/>
      <c r="AE74" s="33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3"/>
      <c r="BC74" s="33"/>
      <c r="BD74" s="33"/>
      <c r="BE74" s="33"/>
      <c r="BF74" s="33"/>
      <c r="BG74" s="33"/>
      <c r="BH74" s="33"/>
      <c r="BI74" s="33"/>
      <c r="BJ74" s="33"/>
    </row>
    <row r="75" spans="27:62" ht="12.75">
      <c r="AA75" s="33"/>
      <c r="AB75" s="31"/>
      <c r="AC75" s="33"/>
      <c r="AD75" s="32"/>
      <c r="AE75" s="33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3"/>
      <c r="BC75" s="33"/>
      <c r="BD75" s="33"/>
      <c r="BE75" s="33"/>
      <c r="BF75" s="33"/>
      <c r="BG75" s="33"/>
      <c r="BH75" s="33"/>
      <c r="BI75" s="33"/>
      <c r="BJ75" s="33"/>
    </row>
    <row r="76" spans="27:62" ht="12.75">
      <c r="AA76" s="33"/>
      <c r="AB76" s="31"/>
      <c r="AC76" s="33"/>
      <c r="AD76" s="32"/>
      <c r="AE76" s="33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3"/>
      <c r="BC76" s="33"/>
      <c r="BD76" s="33"/>
      <c r="BE76" s="33"/>
      <c r="BF76" s="33"/>
      <c r="BG76" s="33"/>
      <c r="BH76" s="33"/>
      <c r="BI76" s="33"/>
      <c r="BJ76" s="33"/>
    </row>
    <row r="77" spans="27:62" ht="12.75">
      <c r="AA77" s="33"/>
      <c r="AB77" s="31"/>
      <c r="AC77" s="33"/>
      <c r="AD77" s="32"/>
      <c r="AE77" s="33" t="s">
        <v>34</v>
      </c>
      <c r="AF77" s="34" t="s">
        <v>35</v>
      </c>
      <c r="AG77" s="34" t="s">
        <v>36</v>
      </c>
      <c r="AH77" s="34" t="s">
        <v>37</v>
      </c>
      <c r="AI77" s="34" t="s">
        <v>34</v>
      </c>
      <c r="AJ77" s="34"/>
      <c r="AK77" s="34" t="s">
        <v>38</v>
      </c>
      <c r="AL77" s="34" t="s">
        <v>39</v>
      </c>
      <c r="AM77" s="34" t="s">
        <v>40</v>
      </c>
      <c r="AN77" s="34" t="s">
        <v>41</v>
      </c>
      <c r="AO77" s="34" t="s">
        <v>38</v>
      </c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3"/>
      <c r="BC77" s="33"/>
      <c r="BD77" s="33"/>
      <c r="BE77" s="33"/>
      <c r="BF77" s="33"/>
      <c r="BG77" s="33"/>
      <c r="BH77" s="33"/>
      <c r="BI77" s="33"/>
      <c r="BJ77" s="33"/>
    </row>
    <row r="78" spans="27:62" ht="12.75">
      <c r="AA78" s="33" t="s">
        <v>27</v>
      </c>
      <c r="AB78" s="31"/>
      <c r="AC78" s="33"/>
      <c r="AD78" s="32"/>
      <c r="AE78" s="33">
        <v>0</v>
      </c>
      <c r="AF78" s="34">
        <f>Pointer!B5</f>
        <v>20</v>
      </c>
      <c r="AG78" s="34">
        <f>Pointer!B5+Pointer!B7</f>
        <v>40</v>
      </c>
      <c r="AH78" s="34"/>
      <c r="AI78" s="34"/>
      <c r="AJ78" s="34"/>
      <c r="AK78" s="34">
        <v>0</v>
      </c>
      <c r="AL78" s="34">
        <f>Pointer!B6</f>
        <v>1</v>
      </c>
      <c r="AM78" s="34">
        <f>Pointer!B6+Pointer!B8</f>
        <v>2</v>
      </c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3"/>
      <c r="BC78" s="33"/>
      <c r="BD78" s="33"/>
      <c r="BE78" s="33"/>
      <c r="BF78" s="33"/>
      <c r="BG78" s="33"/>
      <c r="BH78" s="33"/>
      <c r="BI78" s="33"/>
      <c r="BJ78" s="33"/>
    </row>
    <row r="79" spans="27:62" ht="12.75">
      <c r="AA79" s="33" t="s">
        <v>29</v>
      </c>
      <c r="AB79" s="31"/>
      <c r="AC79" s="33"/>
      <c r="AD79" s="32"/>
      <c r="AE79" s="33">
        <f>Pointer!B12</f>
        <v>0</v>
      </c>
      <c r="AF79" s="34">
        <f>Pointer!B12+Pointer!B15</f>
        <v>0</v>
      </c>
      <c r="AG79" s="34">
        <f>AF79</f>
        <v>0</v>
      </c>
      <c r="AH79" s="34">
        <f>AE79</f>
        <v>0</v>
      </c>
      <c r="AI79" s="34">
        <f>AE79</f>
        <v>0</v>
      </c>
      <c r="AJ79" s="34"/>
      <c r="AK79" s="34">
        <f>Pointer!B13</f>
        <v>0</v>
      </c>
      <c r="AL79" s="34">
        <f>Pointer!B13+Pointer!B14</f>
        <v>0</v>
      </c>
      <c r="AM79" s="34">
        <f>AL79-1</f>
        <v>-1</v>
      </c>
      <c r="AN79" s="34">
        <f>AK79-1</f>
        <v>-1</v>
      </c>
      <c r="AO79" s="34">
        <f>AK79</f>
        <v>0</v>
      </c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3"/>
      <c r="BC79" s="33"/>
      <c r="BD79" s="33"/>
      <c r="BE79" s="33"/>
      <c r="BF79" s="33"/>
      <c r="BG79" s="33"/>
      <c r="BH79" s="33"/>
      <c r="BI79" s="33"/>
      <c r="BJ79" s="33"/>
    </row>
    <row r="80" spans="27:62" ht="12.75">
      <c r="AA80" s="33" t="s">
        <v>28</v>
      </c>
      <c r="AB80" s="31"/>
      <c r="AC80" s="33"/>
      <c r="AD80" s="32"/>
      <c r="AE80" s="33">
        <f>Pointer!B18</f>
        <v>0</v>
      </c>
      <c r="AF80" s="34">
        <f>Pointer!B18+Pointer!B21</f>
        <v>0</v>
      </c>
      <c r="AG80" s="34">
        <f>AF80</f>
        <v>0</v>
      </c>
      <c r="AH80" s="34">
        <f>AE80</f>
        <v>0</v>
      </c>
      <c r="AI80" s="34">
        <f>AE80</f>
        <v>0</v>
      </c>
      <c r="AJ80" s="34"/>
      <c r="AK80" s="34">
        <f>Pointer!B19</f>
        <v>0</v>
      </c>
      <c r="AL80" s="34">
        <f>Pointer!B19+Pointer!B20</f>
        <v>0</v>
      </c>
      <c r="AM80" s="34">
        <f>AL80-1</f>
        <v>-1</v>
      </c>
      <c r="AN80" s="34">
        <f>AK80-1</f>
        <v>-1</v>
      </c>
      <c r="AO80" s="34">
        <f>AK80</f>
        <v>0</v>
      </c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3"/>
      <c r="BC80" s="33"/>
      <c r="BD80" s="33"/>
      <c r="BE80" s="33"/>
      <c r="BF80" s="33"/>
      <c r="BG80" s="33"/>
      <c r="BH80" s="33"/>
      <c r="BI80" s="33"/>
      <c r="BJ80" s="33"/>
    </row>
    <row r="81" spans="27:62" ht="12.75">
      <c r="AA81" s="33" t="s">
        <v>30</v>
      </c>
      <c r="AB81" s="31"/>
      <c r="AC81" s="33"/>
      <c r="AD81" s="32"/>
      <c r="AE81" s="33">
        <f>AE78</f>
        <v>0</v>
      </c>
      <c r="AF81" s="34">
        <f>AF78</f>
        <v>20</v>
      </c>
      <c r="AG81" s="34">
        <f>AG78</f>
        <v>40</v>
      </c>
      <c r="AH81" s="34"/>
      <c r="AI81" s="34"/>
      <c r="AJ81" s="34"/>
      <c r="AK81" s="34">
        <f>AK78+Pointer!$B$9</f>
        <v>1.8</v>
      </c>
      <c r="AL81" s="34">
        <f>AL78+Pointer!$B$9</f>
        <v>2.8</v>
      </c>
      <c r="AM81" s="34">
        <f>AM78+Pointer!$B$9</f>
        <v>3.8</v>
      </c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3"/>
      <c r="BC81" s="33"/>
      <c r="BD81" s="33"/>
      <c r="BE81" s="33"/>
      <c r="BF81" s="33"/>
      <c r="BG81" s="33"/>
      <c r="BH81" s="33"/>
      <c r="BI81" s="33"/>
      <c r="BJ81" s="33"/>
    </row>
    <row r="82" spans="27:62" ht="12.75">
      <c r="AA82" s="33" t="s">
        <v>31</v>
      </c>
      <c r="AB82" s="31"/>
      <c r="AC82" s="33"/>
      <c r="AD82" s="32"/>
      <c r="AE82" s="33">
        <f>AE79</f>
        <v>0</v>
      </c>
      <c r="AF82" s="34">
        <f>AF79</f>
        <v>0</v>
      </c>
      <c r="AG82" s="34"/>
      <c r="AH82" s="34"/>
      <c r="AI82" s="34"/>
      <c r="AJ82" s="34"/>
      <c r="AK82" s="34">
        <f>AK79+Pointer!B23</f>
        <v>1</v>
      </c>
      <c r="AL82" s="34">
        <f>AL79+Pointer!B23</f>
        <v>1</v>
      </c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3"/>
      <c r="BC82" s="33"/>
      <c r="BD82" s="33"/>
      <c r="BE82" s="33"/>
      <c r="BF82" s="33"/>
      <c r="BG82" s="33"/>
      <c r="BH82" s="33"/>
      <c r="BI82" s="33"/>
      <c r="BJ82" s="33"/>
    </row>
    <row r="83" spans="27:62" ht="12.75">
      <c r="AA83" s="33" t="s">
        <v>32</v>
      </c>
      <c r="AB83" s="31"/>
      <c r="AC83" s="33"/>
      <c r="AD83" s="32"/>
      <c r="AE83" s="33">
        <f>AE80</f>
        <v>0</v>
      </c>
      <c r="AF83" s="34">
        <f>AF80</f>
        <v>0</v>
      </c>
      <c r="AG83" s="34"/>
      <c r="AH83" s="34"/>
      <c r="AI83" s="34"/>
      <c r="AJ83" s="34"/>
      <c r="AK83" s="34">
        <f>AK80+Pointer!B23</f>
        <v>1</v>
      </c>
      <c r="AL83" s="34">
        <f>AL80+Pointer!B23</f>
        <v>1</v>
      </c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3"/>
      <c r="BC83" s="33"/>
      <c r="BD83" s="33"/>
      <c r="BE83" s="33"/>
      <c r="BF83" s="33"/>
      <c r="BG83" s="33"/>
      <c r="BH83" s="33"/>
      <c r="BI83" s="33"/>
      <c r="BJ83" s="33"/>
    </row>
    <row r="84" spans="27:62" ht="12.75">
      <c r="AA84" s="33" t="s">
        <v>43</v>
      </c>
      <c r="AB84" s="31"/>
      <c r="AC84" s="33"/>
      <c r="AD84" s="32"/>
      <c r="AE84" s="33">
        <f>MAXA(AE78:AJ83)+5</f>
        <v>45</v>
      </c>
      <c r="AF84" s="34"/>
      <c r="AG84" s="34"/>
      <c r="AH84" s="34"/>
      <c r="AI84" s="34"/>
      <c r="AJ84" s="34"/>
      <c r="AK84" s="34">
        <f>MAXA(AK78:AO83,AO90)+5</f>
        <v>14</v>
      </c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3"/>
      <c r="BC84" s="33"/>
      <c r="BD84" s="33"/>
      <c r="BE84" s="33"/>
      <c r="BF84" s="33"/>
      <c r="BG84" s="33"/>
      <c r="BH84" s="33"/>
      <c r="BI84" s="33"/>
      <c r="BJ84" s="33"/>
    </row>
    <row r="85" spans="27:62" ht="12.75">
      <c r="AA85" s="33" t="s">
        <v>42</v>
      </c>
      <c r="AB85" s="31"/>
      <c r="AC85" s="33"/>
      <c r="AD85" s="32"/>
      <c r="AE85" s="33">
        <v>0</v>
      </c>
      <c r="AF85" s="34">
        <f>IF(AE84&gt;AK84*2,AE84,AK84*2)</f>
        <v>45</v>
      </c>
      <c r="AG85" s="34">
        <f>IF(AE84&gt;AK84*2,AE84,AK84*2)</f>
        <v>45</v>
      </c>
      <c r="AH85" s="34"/>
      <c r="AI85" s="34"/>
      <c r="AJ85" s="34"/>
      <c r="AK85" s="34">
        <v>0</v>
      </c>
      <c r="AL85" s="34">
        <v>0</v>
      </c>
      <c r="AM85" s="34">
        <f>IF(AE84/2&gt;AK84,AE84/2,AK84)</f>
        <v>22.5</v>
      </c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3"/>
      <c r="BC85" s="33"/>
      <c r="BD85" s="33"/>
      <c r="BE85" s="33"/>
      <c r="BF85" s="33"/>
      <c r="BG85" s="33"/>
      <c r="BH85" s="33"/>
      <c r="BI85" s="33"/>
      <c r="BJ85" s="33"/>
    </row>
    <row r="86" spans="27:62" ht="12.75">
      <c r="AA86" s="33" t="s">
        <v>44</v>
      </c>
      <c r="AB86" s="31"/>
      <c r="AC86" s="33"/>
      <c r="AD86" s="32"/>
      <c r="AE86" s="33">
        <v>45</v>
      </c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3"/>
      <c r="BC86" s="33"/>
      <c r="BD86" s="33"/>
      <c r="BE86" s="33"/>
      <c r="BF86" s="33"/>
      <c r="BG86" s="33"/>
      <c r="BH86" s="33"/>
      <c r="BI86" s="33"/>
      <c r="BJ86" s="33"/>
    </row>
    <row r="87" spans="27:62" ht="12.75">
      <c r="AA87" s="33"/>
      <c r="AB87" s="31"/>
      <c r="AC87" s="33"/>
      <c r="AD87" s="32"/>
      <c r="AE87" s="33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3"/>
      <c r="BD87" s="33"/>
      <c r="BE87" s="33"/>
      <c r="BF87" s="33"/>
      <c r="BG87" s="33"/>
      <c r="BH87" s="33"/>
      <c r="BI87" s="33"/>
      <c r="BJ87" s="33"/>
    </row>
    <row r="88" spans="27:62" ht="12.75">
      <c r="AA88" s="33"/>
      <c r="AB88" s="31"/>
      <c r="AC88" s="35" t="s">
        <v>46</v>
      </c>
      <c r="AD88" s="35" t="s">
        <v>59</v>
      </c>
      <c r="AE88" s="35" t="s">
        <v>44</v>
      </c>
      <c r="AF88" s="36" t="s">
        <v>47</v>
      </c>
      <c r="AG88" s="36" t="s">
        <v>50</v>
      </c>
      <c r="AH88" s="36" t="s">
        <v>51</v>
      </c>
      <c r="AI88" s="36" t="s">
        <v>54</v>
      </c>
      <c r="AJ88" s="36" t="s">
        <v>56</v>
      </c>
      <c r="AK88" s="36" t="s">
        <v>55</v>
      </c>
      <c r="AL88" s="36" t="s">
        <v>47</v>
      </c>
      <c r="AM88" s="36" t="s">
        <v>69</v>
      </c>
      <c r="AN88" s="33"/>
      <c r="AO88" s="36" t="s">
        <v>48</v>
      </c>
      <c r="AP88" s="36" t="s">
        <v>52</v>
      </c>
      <c r="AQ88" s="36" t="s">
        <v>53</v>
      </c>
      <c r="AR88" s="36" t="s">
        <v>49</v>
      </c>
      <c r="AS88" s="36" t="s">
        <v>57</v>
      </c>
      <c r="AT88" s="36" t="s">
        <v>58</v>
      </c>
      <c r="AU88" s="36" t="s">
        <v>48</v>
      </c>
      <c r="AV88" s="36" t="s">
        <v>68</v>
      </c>
      <c r="AW88" s="34"/>
      <c r="AX88" s="34"/>
      <c r="AY88" s="36" t="s">
        <v>51</v>
      </c>
      <c r="AZ88" s="36" t="s">
        <v>61</v>
      </c>
      <c r="BA88" s="36" t="s">
        <v>53</v>
      </c>
      <c r="BB88" s="36" t="s">
        <v>62</v>
      </c>
      <c r="BC88" s="33"/>
      <c r="BD88" s="36" t="s">
        <v>75</v>
      </c>
      <c r="BE88" s="36" t="s">
        <v>70</v>
      </c>
      <c r="BF88" s="36" t="s">
        <v>71</v>
      </c>
      <c r="BG88" s="36" t="s">
        <v>74</v>
      </c>
      <c r="BH88" s="36" t="s">
        <v>72</v>
      </c>
      <c r="BI88" s="36" t="s">
        <v>73</v>
      </c>
      <c r="BJ88" s="33"/>
    </row>
    <row r="89" spans="27:62" ht="12.75">
      <c r="AA89" s="37" t="s">
        <v>33</v>
      </c>
      <c r="AB89" s="38"/>
      <c r="AC89" s="33" t="s">
        <v>60</v>
      </c>
      <c r="AD89" s="32"/>
      <c r="AE89" s="33">
        <f>Pointer!B29</f>
        <v>7</v>
      </c>
      <c r="AF89" s="34">
        <f>AI89+0.08*SIN(PI()*AE89/180)</f>
        <v>0.009749547472411798</v>
      </c>
      <c r="AG89" s="34">
        <f>AF89+0.71*COS(PI()*AE89/180)</f>
        <v>0.7144573151377503</v>
      </c>
      <c r="AH89" s="34">
        <f>AI89+0.71*COS(PI()*AE89/180)</f>
        <v>0.7047077676653386</v>
      </c>
      <c r="AI89" s="34">
        <f>AF90</f>
        <v>0</v>
      </c>
      <c r="AJ89" s="34">
        <f>AI89-0.59*COS(PI()*AE89/180)</f>
        <v>-0.5856022294683799</v>
      </c>
      <c r="AK89" s="34">
        <f>AF89-0.59*COS(PI()*AE89/180)</f>
        <v>-0.5758526819959682</v>
      </c>
      <c r="AL89" s="34">
        <f aca="true" t="shared" si="0" ref="AL89:AL109">AF89</f>
        <v>0.009749547472411798</v>
      </c>
      <c r="AM89" s="34"/>
      <c r="AN89" s="34"/>
      <c r="AO89" s="34">
        <f>AR89+0.08*COS(PI()*AE89/180)</f>
        <v>9.079403692131306</v>
      </c>
      <c r="AP89" s="34">
        <f>AO89-0.59*SIN(PI()*AE89/180)</f>
        <v>9.00750077952227</v>
      </c>
      <c r="AQ89" s="34">
        <f>AR89-0.59*SIN(PI()*AE89/180)</f>
        <v>8.928097087390963</v>
      </c>
      <c r="AR89" s="34">
        <f>AO90</f>
        <v>9</v>
      </c>
      <c r="AS89" s="34">
        <f>AR89+0.59*SIN(PI()*AE89/180)</f>
        <v>9.071902912609037</v>
      </c>
      <c r="AT89" s="34">
        <f>AO89+0.59*SIN(PI()*AE89/180)</f>
        <v>9.151306604740343</v>
      </c>
      <c r="AU89" s="34">
        <f aca="true" t="shared" si="1" ref="AU89:AU109">AO89</f>
        <v>9.079403692131306</v>
      </c>
      <c r="AV89" s="34"/>
      <c r="AW89" s="34"/>
      <c r="AX89" s="34"/>
      <c r="AY89" s="34"/>
      <c r="AZ89" s="34"/>
      <c r="BA89" s="34"/>
      <c r="BB89" s="34"/>
      <c r="BC89" s="33"/>
      <c r="BD89" s="33">
        <v>40</v>
      </c>
      <c r="BE89" s="34">
        <f>AH89-0.595*COS(PI()*AE89/180)+0.04*SIN(PI()*AE89/180)</f>
        <v>0.11901758117495795</v>
      </c>
      <c r="BF89" s="34">
        <f>AQ89+0.595*SIN(PI()*AE89/180)+0.04*COS(PI()*AE89/180)</f>
        <v>9.040311192782678</v>
      </c>
      <c r="BG89" s="33">
        <v>40</v>
      </c>
      <c r="BH89" s="34">
        <f>BE89</f>
        <v>0.11901758117495795</v>
      </c>
      <c r="BI89" s="34">
        <f>BF89</f>
        <v>9.040311192782678</v>
      </c>
      <c r="BJ89" s="33"/>
    </row>
    <row r="90" spans="27:62" ht="12.75">
      <c r="AA90" s="37" t="s">
        <v>45</v>
      </c>
      <c r="AB90" s="38">
        <v>1</v>
      </c>
      <c r="AC90" s="33" t="str">
        <f>Pointer!F4</f>
        <v>AV27</v>
      </c>
      <c r="AD90" s="32"/>
      <c r="AE90" s="33">
        <f>Pointer!B29</f>
        <v>7</v>
      </c>
      <c r="AF90" s="39">
        <f>Pointer!B30</f>
        <v>0</v>
      </c>
      <c r="AG90" s="39">
        <f aca="true" t="shared" si="2" ref="AG90:AG109">IF(AC90="","",AF90+0.6*COS(PI()*AE90/180))</f>
        <v>0.5955276909847932</v>
      </c>
      <c r="AH90" s="39">
        <f aca="true" t="shared" si="3" ref="AH90:AH109">IF(AC90="","",AI90+0.6*COS(PI()*AE90/180))</f>
        <v>0.5394677930184253</v>
      </c>
      <c r="AI90" s="39">
        <f aca="true" t="shared" si="4" ref="AI90:AI109">IF(AC90="","",AF90-IF(AC90="AB37",0.6,0.46)*SIN(PI()*AE90/180))</f>
        <v>-0.056059897966367844</v>
      </c>
      <c r="AJ90" s="39">
        <f aca="true" t="shared" si="5" ref="AJ90:AJ109">IF(AC90="AB37",AI90-0.26*COS(PI()*AE90/180),AI90)</f>
        <v>-0.056059897966367844</v>
      </c>
      <c r="AK90" s="39">
        <f aca="true" t="shared" si="6" ref="AK90:AK109">IF(AC90="AB37",AF90-0.26*COS(PI()*AE90/180),AF90)</f>
        <v>0</v>
      </c>
      <c r="AL90" s="39">
        <f t="shared" si="0"/>
        <v>0</v>
      </c>
      <c r="AM90" s="39">
        <f aca="true" t="shared" si="7" ref="AM90:AM109">IF(MAXA(AG90:AH90)=0,-1000,MAXA(AG90:AH90))</f>
        <v>0.5955276909847932</v>
      </c>
      <c r="AN90" s="34"/>
      <c r="AO90" s="39">
        <f>Pointer!B28</f>
        <v>9</v>
      </c>
      <c r="AP90" s="39">
        <f aca="true" t="shared" si="8" ref="AP90:AP109">IF(AC90="","",AO90-0.6*SIN(PI()*AE90/180))</f>
        <v>8.926878393956912</v>
      </c>
      <c r="AQ90" s="39">
        <f aca="true" t="shared" si="9" ref="AQ90:AQ109">IF(AC90="","",AR90-0.6*SIN(PI()*AE90/180))</f>
        <v>8.470307164201904</v>
      </c>
      <c r="AR90" s="39">
        <f aca="true" t="shared" si="10" ref="AR90:AR109">IF(AC90="","",AO90-IF(AC90="ÄB37",0.6,0.46)*COS(PI()*AE90/180))</f>
        <v>8.543428770244992</v>
      </c>
      <c r="AS90" s="39">
        <f aca="true" t="shared" si="11" ref="AS90:AS109">IF(AC90="AB37",AR90+0.26*SIN(PI()*AE90/180),AR90)</f>
        <v>8.543428770244992</v>
      </c>
      <c r="AT90" s="39">
        <f aca="true" t="shared" si="12" ref="AT90:AT109">IF(AC90="AB37",AO90+0.26*SIN(PI()*AE90/180),AO90)</f>
        <v>9</v>
      </c>
      <c r="AU90" s="39">
        <f t="shared" si="1"/>
        <v>9</v>
      </c>
      <c r="AV90" s="39">
        <f aca="true" t="shared" si="13" ref="AV90:AV109">IF(MINA(AQ90:AS90)=0,1000,MINA(AQ90:AS90))</f>
        <v>8.470307164201904</v>
      </c>
      <c r="AW90" s="34"/>
      <c r="AX90" s="34"/>
      <c r="AY90" s="39">
        <f aca="true" t="shared" si="14" ref="AY90:AY109">IF(AC90="AV27",AH90,0)</f>
        <v>0.5394677930184253</v>
      </c>
      <c r="AZ90" s="39">
        <f>IF(AC90="AV27",IF((AQ90-(Pointer!$B$5+Pointer!$B$7)*TAN(AE90*PI()/180))&gt;(Pointer!$B$6+Pointer!$B$8+Pointer!$B$9),Pointer!$B$5+Pointer!$B$7,IF((AQ90-Pointer!$B$5*TAN(AE90*PI()/180))&gt;(Pointer!$B$6+Pointer!$B$9),(Pointer!$B$6+Pointer!$B$9-Pointer!$B$5*Pointer!$B$8/Pointer!$B$7-AQ90-AH90*TAN(AE90*PI()/180))/(-TAN(AE90*PI()/180)-(Pointer!$B$8/Pointer!$B$7)),((Pointer!$B$9-AQ90-AH90*TAN(AE90*PI()/180))/(-TAN(AE90*PI()/180)-(Pointer!$B$6)/Pointer!$B$5)))),0)</f>
        <v>38.988121653267946</v>
      </c>
      <c r="BA90" s="39">
        <f aca="true" t="shared" si="15" ref="BA90:BA109">IF(AC90="AV27",AQ90,0)</f>
        <v>8.470307164201904</v>
      </c>
      <c r="BB90" s="39">
        <f aca="true" t="shared" si="16" ref="BB90:BB109">IF(AC90="AV27",AQ90+AH90*TAN(AE90*PI()/180)-AZ90*TAN(AE90*PI()/180),0)</f>
        <v>3.7494060826633993</v>
      </c>
      <c r="BC90" s="33"/>
      <c r="BD90" s="39">
        <f aca="true" t="shared" si="17" ref="BD90:BD109">IF(AC90="AB37",100,IF(AC90="AV27",75,0))</f>
        <v>75</v>
      </c>
      <c r="BE90" s="39">
        <f aca="true" t="shared" si="18" ref="BE90:BE109">IF(AC90="",0,AH90-IF(AC90="AB37",0.44,0.263)*COS(PI()*AE90/180)+IF(AC90="AB37",0.3,0.23)*SIN(PI()*AE90/180))</f>
        <v>0.30645810411994157</v>
      </c>
      <c r="BF90" s="39">
        <f aca="true" t="shared" si="19" ref="BF90:BF109">IF(AC90="",0,AQ90+IF(AC90="AB37",0.44,0.26)*SIN(PI()*AE90/180)+IF(AC90="AB37",0.3,0.23)*COS(PI()*AE90/180))</f>
        <v>8.730278808364746</v>
      </c>
      <c r="BG90" s="39">
        <f aca="true" t="shared" si="20" ref="BG90:BG109">BD90+BG89</f>
        <v>115</v>
      </c>
      <c r="BH90" s="39">
        <f aca="true" t="shared" si="21" ref="BH90:BH109">BE90+(BG89*(BH89-BE90)/(BG89+BD90))</f>
        <v>0.24126140048690378</v>
      </c>
      <c r="BI90" s="39">
        <f aca="true" t="shared" si="22" ref="BI90:BI109">BF90+(BG89*(BI89-BF90)/(BG89+BD90))</f>
        <v>8.838116159466635</v>
      </c>
      <c r="BJ90" s="33"/>
    </row>
    <row r="91" spans="27:62" ht="12.75">
      <c r="AA91" s="37" t="s">
        <v>45</v>
      </c>
      <c r="AB91" s="38">
        <f aca="true" t="shared" si="23" ref="AB91:AB109">AB90+1</f>
        <v>2</v>
      </c>
      <c r="AC91" s="33" t="str">
        <f>IF(AC90="","",Pointer!F5)</f>
        <v>AV27</v>
      </c>
      <c r="AD91" s="32" t="str">
        <f>Pointer!G5</f>
        <v>0,63</v>
      </c>
      <c r="AE91" s="33">
        <f aca="true" t="shared" si="24" ref="AE91:AE109">AE90+IF(AC91="AB37",0,AD91)</f>
        <v>7.63</v>
      </c>
      <c r="AF91" s="39">
        <f aca="true" t="shared" si="25" ref="AF91:AF109">IF(AC91="","",AF90-IF(AC90="AB37",0.6,0.46)*SIN(PI()*AE90/180))</f>
        <v>-0.056059897966367844</v>
      </c>
      <c r="AG91" s="39">
        <f t="shared" si="2"/>
        <v>0.5386277950918448</v>
      </c>
      <c r="AH91" s="39">
        <f t="shared" si="3"/>
        <v>0.47755112427212454</v>
      </c>
      <c r="AI91" s="39">
        <f t="shared" si="4"/>
        <v>-0.11713656878608811</v>
      </c>
      <c r="AJ91" s="39">
        <f t="shared" si="5"/>
        <v>-0.11713656878608811</v>
      </c>
      <c r="AK91" s="39">
        <f t="shared" si="6"/>
        <v>-0.056059897966367844</v>
      </c>
      <c r="AL91" s="39">
        <f t="shared" si="0"/>
        <v>-0.056059897966367844</v>
      </c>
      <c r="AM91" s="39">
        <f t="shared" si="7"/>
        <v>0.5386277950918448</v>
      </c>
      <c r="AN91" s="34"/>
      <c r="AO91" s="39">
        <f aca="true" t="shared" si="26" ref="AO91:AO109">IF(AC91="","",AO90-IF(AC90="ÄB37",0.6,0.46)*COS(PI()*AE90/180))</f>
        <v>8.543428770244992</v>
      </c>
      <c r="AP91" s="39">
        <f t="shared" si="8"/>
        <v>8.463763547436661</v>
      </c>
      <c r="AQ91" s="39">
        <f t="shared" si="9"/>
        <v>8.007836316092032</v>
      </c>
      <c r="AR91" s="39">
        <f t="shared" si="10"/>
        <v>8.087501538900362</v>
      </c>
      <c r="AS91" s="39">
        <f t="shared" si="11"/>
        <v>8.087501538900362</v>
      </c>
      <c r="AT91" s="39">
        <f t="shared" si="12"/>
        <v>8.543428770244992</v>
      </c>
      <c r="AU91" s="39">
        <f t="shared" si="1"/>
        <v>8.543428770244992</v>
      </c>
      <c r="AV91" s="39">
        <f t="shared" si="13"/>
        <v>8.007836316092032</v>
      </c>
      <c r="AW91" s="34"/>
      <c r="AX91" s="34"/>
      <c r="AY91" s="39">
        <f t="shared" si="14"/>
        <v>0.47755112427212454</v>
      </c>
      <c r="AZ91" s="39">
        <f>IF(AC91="AV27",IF((AQ91-(Pointer!$B$5+Pointer!$B$7)*TAN(AE91*PI()/180))&gt;(Pointer!$B$6+Pointer!$B$8+Pointer!$B$9),Pointer!$B$5+Pointer!$B$7,IF((AQ91-Pointer!$B$5*TAN(AE91*PI()/180))&gt;(Pointer!$B$6+Pointer!$B$9),(Pointer!$B$6+Pointer!$B$9-Pointer!$B$5*Pointer!$B$8/Pointer!$B$7-AQ91-AH91*TAN(AE91*PI()/180))/(-TAN(AE91*PI()/180)-(Pointer!$B$8/Pointer!$B$7)),((Pointer!$B$9-AQ91-AH91*TAN(AE91*PI()/180))/(-TAN(AE91*PI()/180)-(Pointer!$B$6)/Pointer!$B$5)))),0)</f>
        <v>34.09306633699458</v>
      </c>
      <c r="BA91" s="39">
        <f t="shared" si="15"/>
        <v>8.007836316092032</v>
      </c>
      <c r="BB91" s="39">
        <f t="shared" si="16"/>
        <v>3.50465331684973</v>
      </c>
      <c r="BC91" s="33"/>
      <c r="BD91" s="39">
        <f t="shared" si="17"/>
        <v>75</v>
      </c>
      <c r="BE91" s="39">
        <f t="shared" si="18"/>
        <v>0.2474180208914681</v>
      </c>
      <c r="BF91" s="39">
        <f t="shared" si="19"/>
        <v>8.270321528314625</v>
      </c>
      <c r="BG91" s="39">
        <f t="shared" si="20"/>
        <v>190</v>
      </c>
      <c r="BH91" s="39">
        <f t="shared" si="21"/>
        <v>0.24369164538344235</v>
      </c>
      <c r="BI91" s="39">
        <f t="shared" si="22"/>
        <v>8.613986699801368</v>
      </c>
      <c r="BJ91" s="33"/>
    </row>
    <row r="92" spans="27:62" ht="12.75">
      <c r="AA92" s="37" t="s">
        <v>45</v>
      </c>
      <c r="AB92" s="38">
        <f t="shared" si="23"/>
        <v>3</v>
      </c>
      <c r="AC92" s="33" t="str">
        <f>IF(AC91="","",Pointer!F6)</f>
        <v>AV27</v>
      </c>
      <c r="AD92" s="32" t="str">
        <f>Pointer!G6</f>
        <v>0,63</v>
      </c>
      <c r="AE92" s="33">
        <f t="shared" si="24"/>
        <v>8.26</v>
      </c>
      <c r="AF92" s="39">
        <f t="shared" si="25"/>
        <v>-0.11713656878608811</v>
      </c>
      <c r="AG92" s="39">
        <f t="shared" si="2"/>
        <v>0.4766392277496023</v>
      </c>
      <c r="AH92" s="39">
        <f t="shared" si="3"/>
        <v>0.41055316833372546</v>
      </c>
      <c r="AI92" s="39">
        <f t="shared" si="4"/>
        <v>-0.183222628201965</v>
      </c>
      <c r="AJ92" s="39">
        <f t="shared" si="5"/>
        <v>-0.183222628201965</v>
      </c>
      <c r="AK92" s="39">
        <f t="shared" si="6"/>
        <v>-0.11713656878608811</v>
      </c>
      <c r="AL92" s="39">
        <f t="shared" si="0"/>
        <v>-0.11713656878608811</v>
      </c>
      <c r="AM92" s="39">
        <f t="shared" si="7"/>
        <v>0.4766392277496023</v>
      </c>
      <c r="AN92" s="34"/>
      <c r="AO92" s="39">
        <f t="shared" si="26"/>
        <v>8.087501538900362</v>
      </c>
      <c r="AP92" s="39">
        <f t="shared" si="8"/>
        <v>8.00130233096661</v>
      </c>
      <c r="AQ92" s="39">
        <f t="shared" si="9"/>
        <v>7.546074220289247</v>
      </c>
      <c r="AR92" s="39">
        <f t="shared" si="10"/>
        <v>7.632273428223</v>
      </c>
      <c r="AS92" s="39">
        <f t="shared" si="11"/>
        <v>7.632273428223</v>
      </c>
      <c r="AT92" s="39">
        <f t="shared" si="12"/>
        <v>8.087501538900362</v>
      </c>
      <c r="AU92" s="39">
        <f t="shared" si="1"/>
        <v>8.087501538900362</v>
      </c>
      <c r="AV92" s="39">
        <f t="shared" si="13"/>
        <v>7.546074220289247</v>
      </c>
      <c r="AW92" s="34"/>
      <c r="AX92" s="34"/>
      <c r="AY92" s="39">
        <f t="shared" si="14"/>
        <v>0.41055316833372546</v>
      </c>
      <c r="AZ92" s="39">
        <f>IF(AC92="AV27",IF((AQ92-(Pointer!$B$5+Pointer!$B$7)*TAN(AE92*PI()/180))&gt;(Pointer!$B$6+Pointer!$B$8+Pointer!$B$9),Pointer!$B$5+Pointer!$B$7,IF((AQ92-Pointer!$B$5*TAN(AE92*PI()/180))&gt;(Pointer!$B$6+Pointer!$B$9),(Pointer!$B$6+Pointer!$B$9-Pointer!$B$5*Pointer!$B$8/Pointer!$B$7-AQ92-AH92*TAN(AE92*PI()/180))/(-TAN(AE92*PI()/180)-(Pointer!$B$8/Pointer!$B$7)),((Pointer!$B$9-AQ92-AH92*TAN(AE92*PI()/180))/(-TAN(AE92*PI()/180)-(Pointer!$B$6)/Pointer!$B$5)))),0)</f>
        <v>29.746558933166703</v>
      </c>
      <c r="BA92" s="39">
        <f t="shared" si="15"/>
        <v>7.546074220289247</v>
      </c>
      <c r="BB92" s="39">
        <f t="shared" si="16"/>
        <v>3.287327946658335</v>
      </c>
      <c r="BC92" s="33"/>
      <c r="BD92" s="39">
        <f t="shared" si="17"/>
        <v>75</v>
      </c>
      <c r="BE92" s="39">
        <f t="shared" si="18"/>
        <v>0.18332447389351958</v>
      </c>
      <c r="BF92" s="39">
        <f t="shared" si="19"/>
        <v>7.8110412657325545</v>
      </c>
      <c r="BG92" s="39">
        <f t="shared" si="20"/>
        <v>265</v>
      </c>
      <c r="BH92" s="39">
        <f t="shared" si="21"/>
        <v>0.22660659684855855</v>
      </c>
      <c r="BI92" s="39">
        <f t="shared" si="22"/>
        <v>8.386737992046044</v>
      </c>
      <c r="BJ92" s="33"/>
    </row>
    <row r="93" spans="27:62" ht="12.75">
      <c r="AA93" s="37" t="s">
        <v>45</v>
      </c>
      <c r="AB93" s="38">
        <f t="shared" si="23"/>
        <v>4</v>
      </c>
      <c r="AC93" s="33" t="str">
        <f>IF(AC92="","",Pointer!F7)</f>
        <v>AV27</v>
      </c>
      <c r="AD93" s="32" t="str">
        <f>Pointer!G7</f>
        <v>1,25</v>
      </c>
      <c r="AE93" s="33">
        <f t="shared" si="24"/>
        <v>9.51</v>
      </c>
      <c r="AF93" s="39">
        <f t="shared" si="25"/>
        <v>-0.183222628201965</v>
      </c>
      <c r="AG93" s="39">
        <f t="shared" si="2"/>
        <v>0.4085314399623995</v>
      </c>
      <c r="AH93" s="39">
        <f t="shared" si="3"/>
        <v>0.332530358340132</v>
      </c>
      <c r="AI93" s="39">
        <f t="shared" si="4"/>
        <v>-0.2592237098242325</v>
      </c>
      <c r="AJ93" s="39">
        <f t="shared" si="5"/>
        <v>-0.2592237098242325</v>
      </c>
      <c r="AK93" s="39">
        <f t="shared" si="6"/>
        <v>-0.183222628201965</v>
      </c>
      <c r="AL93" s="39">
        <f t="shared" si="0"/>
        <v>-0.183222628201965</v>
      </c>
      <c r="AM93" s="39">
        <f t="shared" si="7"/>
        <v>0.4085314399623995</v>
      </c>
      <c r="AN93" s="34"/>
      <c r="AO93" s="39">
        <f t="shared" si="26"/>
        <v>7.632273428223</v>
      </c>
      <c r="AP93" s="39">
        <f t="shared" si="8"/>
        <v>7.533141582628738</v>
      </c>
      <c r="AQ93" s="39">
        <f t="shared" si="9"/>
        <v>7.079463463702725</v>
      </c>
      <c r="AR93" s="39">
        <f t="shared" si="10"/>
        <v>7.178595309296987</v>
      </c>
      <c r="AS93" s="39">
        <f t="shared" si="11"/>
        <v>7.178595309296987</v>
      </c>
      <c r="AT93" s="39">
        <f t="shared" si="12"/>
        <v>7.632273428223</v>
      </c>
      <c r="AU93" s="39">
        <f t="shared" si="1"/>
        <v>7.632273428223</v>
      </c>
      <c r="AV93" s="39">
        <f t="shared" si="13"/>
        <v>7.079463463702725</v>
      </c>
      <c r="AW93" s="34"/>
      <c r="AX93" s="34"/>
      <c r="AY93" s="39">
        <f t="shared" si="14"/>
        <v>0.332530358340132</v>
      </c>
      <c r="AZ93" s="39">
        <f>IF(AC93="AV27",IF((AQ93-(Pointer!$B$5+Pointer!$B$7)*TAN(AE93*PI()/180))&gt;(Pointer!$B$6+Pointer!$B$8+Pointer!$B$9),Pointer!$B$5+Pointer!$B$7,IF((AQ93-Pointer!$B$5*TAN(AE93*PI()/180))&gt;(Pointer!$B$6+Pointer!$B$9),(Pointer!$B$6+Pointer!$B$9-Pointer!$B$5*Pointer!$B$8/Pointer!$B$7-AQ93-AH93*TAN(AE93*PI()/180))/(-TAN(AE93*PI()/180)-(Pointer!$B$8/Pointer!$B$7)),((Pointer!$B$9-AQ93-AH93*TAN(AE93*PI()/180))/(-TAN(AE93*PI()/180)-(Pointer!$B$6)/Pointer!$B$5)))),0)</f>
        <v>24.527030703384153</v>
      </c>
      <c r="BA93" s="39">
        <f t="shared" si="15"/>
        <v>7.079463463702725</v>
      </c>
      <c r="BB93" s="39">
        <f t="shared" si="16"/>
        <v>3.0263515351692076</v>
      </c>
      <c r="BC93" s="33"/>
      <c r="BD93" s="39">
        <f t="shared" si="17"/>
        <v>75</v>
      </c>
      <c r="BE93" s="39">
        <f t="shared" si="18"/>
        <v>0.11114536593921927</v>
      </c>
      <c r="BF93" s="39">
        <f t="shared" si="19"/>
        <v>7.349259656256578</v>
      </c>
      <c r="BG93" s="39">
        <f t="shared" si="20"/>
        <v>340</v>
      </c>
      <c r="BH93" s="39">
        <f t="shared" si="21"/>
        <v>0.20113720767738077</v>
      </c>
      <c r="BI93" s="39">
        <f t="shared" si="22"/>
        <v>8.157882476798367</v>
      </c>
      <c r="BJ93" s="33"/>
    </row>
    <row r="94" spans="27:62" ht="12.75">
      <c r="AA94" s="37" t="s">
        <v>45</v>
      </c>
      <c r="AB94" s="38">
        <f t="shared" si="23"/>
        <v>5</v>
      </c>
      <c r="AC94" s="33" t="str">
        <f>IF(AC93="","",Pointer!F8)</f>
        <v>AV27</v>
      </c>
      <c r="AD94" s="32" t="str">
        <f>Pointer!G8</f>
        <v>1,25</v>
      </c>
      <c r="AE94" s="33">
        <f t="shared" si="24"/>
        <v>10.76</v>
      </c>
      <c r="AF94" s="39">
        <f t="shared" si="25"/>
        <v>-0.2592237098242325</v>
      </c>
      <c r="AG94" s="39">
        <f t="shared" si="2"/>
        <v>0.33022698708165255</v>
      </c>
      <c r="AH94" s="39">
        <f t="shared" si="3"/>
        <v>0.24434705565164183</v>
      </c>
      <c r="AI94" s="39">
        <f t="shared" si="4"/>
        <v>-0.3451036412542432</v>
      </c>
      <c r="AJ94" s="39">
        <f t="shared" si="5"/>
        <v>-0.3451036412542432</v>
      </c>
      <c r="AK94" s="39">
        <f t="shared" si="6"/>
        <v>-0.2592237098242325</v>
      </c>
      <c r="AL94" s="39">
        <f t="shared" si="0"/>
        <v>-0.2592237098242325</v>
      </c>
      <c r="AM94" s="39">
        <f t="shared" si="7"/>
        <v>0.33022698708165255</v>
      </c>
      <c r="AN94" s="34"/>
      <c r="AO94" s="39">
        <f t="shared" si="26"/>
        <v>7.178595309296987</v>
      </c>
      <c r="AP94" s="39">
        <f t="shared" si="8"/>
        <v>7.0665780074317555</v>
      </c>
      <c r="AQ94" s="39">
        <f t="shared" si="9"/>
        <v>6.614665806470577</v>
      </c>
      <c r="AR94" s="39">
        <f t="shared" si="10"/>
        <v>6.726683108335808</v>
      </c>
      <c r="AS94" s="39">
        <f t="shared" si="11"/>
        <v>6.726683108335808</v>
      </c>
      <c r="AT94" s="39">
        <f t="shared" si="12"/>
        <v>7.178595309296987</v>
      </c>
      <c r="AU94" s="39">
        <f t="shared" si="1"/>
        <v>7.178595309296987</v>
      </c>
      <c r="AV94" s="39">
        <f t="shared" si="13"/>
        <v>6.614665806470577</v>
      </c>
      <c r="AW94" s="34"/>
      <c r="AX94" s="34"/>
      <c r="AY94" s="39">
        <f t="shared" si="14"/>
        <v>0.24434705565164183</v>
      </c>
      <c r="AZ94" s="39">
        <f>IF(AC94="AV27",IF((AQ94-(Pointer!$B$5+Pointer!$B$7)*TAN(AE94*PI()/180))&gt;(Pointer!$B$6+Pointer!$B$8+Pointer!$B$9),Pointer!$B$5+Pointer!$B$7,IF((AQ94-Pointer!$B$5*TAN(AE94*PI()/180))&gt;(Pointer!$B$6+Pointer!$B$9),(Pointer!$B$6+Pointer!$B$9-Pointer!$B$5*Pointer!$B$8/Pointer!$B$7-AQ94-AH94*TAN(AE94*PI()/180))/(-TAN(AE94*PI()/180)-(Pointer!$B$8/Pointer!$B$7)),((Pointer!$B$9-AQ94-AH94*TAN(AE94*PI()/180))/(-TAN(AE94*PI()/180)-(Pointer!$B$6)/Pointer!$B$5)))),0)</f>
        <v>20.251484343346252</v>
      </c>
      <c r="BA94" s="39">
        <f t="shared" si="15"/>
        <v>6.614665806470577</v>
      </c>
      <c r="BB94" s="39">
        <f t="shared" si="16"/>
        <v>2.8125742171673123</v>
      </c>
      <c r="BC94" s="33"/>
      <c r="BD94" s="39">
        <f t="shared" si="17"/>
        <v>75</v>
      </c>
      <c r="BE94" s="39">
        <f t="shared" si="18"/>
        <v>0.02891113255623423</v>
      </c>
      <c r="BF94" s="39">
        <f t="shared" si="19"/>
        <v>6.889162737759433</v>
      </c>
      <c r="BG94" s="39">
        <f t="shared" si="20"/>
        <v>415</v>
      </c>
      <c r="BH94" s="39">
        <f t="shared" si="21"/>
        <v>0.17001201337837837</v>
      </c>
      <c r="BI94" s="39">
        <f t="shared" si="22"/>
        <v>7.928595776972053</v>
      </c>
      <c r="BJ94" s="33"/>
    </row>
    <row r="95" spans="27:62" ht="12.75">
      <c r="AA95" s="37" t="s">
        <v>45</v>
      </c>
      <c r="AB95" s="38">
        <f t="shared" si="23"/>
        <v>6</v>
      </c>
      <c r="AC95" s="33" t="str">
        <f>IF(AC94="","",Pointer!F9)</f>
        <v>AV27</v>
      </c>
      <c r="AD95" s="32" t="str">
        <f>Pointer!G9</f>
        <v>2,5</v>
      </c>
      <c r="AE95" s="33">
        <f t="shared" si="24"/>
        <v>13.26</v>
      </c>
      <c r="AF95" s="39">
        <f t="shared" si="25"/>
        <v>-0.3451036412542432</v>
      </c>
      <c r="AG95" s="39">
        <f t="shared" si="2"/>
        <v>0.23889990311808862</v>
      </c>
      <c r="AH95" s="39">
        <f t="shared" si="3"/>
        <v>0.1333895770045173</v>
      </c>
      <c r="AI95" s="39">
        <f t="shared" si="4"/>
        <v>-0.4506139673678145</v>
      </c>
      <c r="AJ95" s="39">
        <f t="shared" si="5"/>
        <v>-0.4506139673678145</v>
      </c>
      <c r="AK95" s="39">
        <f t="shared" si="6"/>
        <v>-0.3451036412542432</v>
      </c>
      <c r="AL95" s="39">
        <f t="shared" si="0"/>
        <v>-0.3451036412542432</v>
      </c>
      <c r="AM95" s="39">
        <f t="shared" si="7"/>
        <v>0.23889990311808862</v>
      </c>
      <c r="AN95" s="34"/>
      <c r="AO95" s="39">
        <f t="shared" si="26"/>
        <v>6.726683108335808</v>
      </c>
      <c r="AP95" s="39">
        <f t="shared" si="8"/>
        <v>6.589060943839845</v>
      </c>
      <c r="AQ95" s="39">
        <f t="shared" si="9"/>
        <v>6.1413248931543905</v>
      </c>
      <c r="AR95" s="39">
        <f t="shared" si="10"/>
        <v>6.278947057650353</v>
      </c>
      <c r="AS95" s="39">
        <f t="shared" si="11"/>
        <v>6.278947057650353</v>
      </c>
      <c r="AT95" s="39">
        <f t="shared" si="12"/>
        <v>6.726683108335808</v>
      </c>
      <c r="AU95" s="39">
        <f t="shared" si="1"/>
        <v>6.726683108335808</v>
      </c>
      <c r="AV95" s="39">
        <f t="shared" si="13"/>
        <v>6.1413248931543905</v>
      </c>
      <c r="AW95" s="34"/>
      <c r="AX95" s="34"/>
      <c r="AY95" s="39">
        <f t="shared" si="14"/>
        <v>0.1333895770045173</v>
      </c>
      <c r="AZ95" s="39">
        <f>IF(AC95="AV27",IF((AQ95-(Pointer!$B$5+Pointer!$B$7)*TAN(AE95*PI()/180))&gt;(Pointer!$B$6+Pointer!$B$8+Pointer!$B$9),Pointer!$B$5+Pointer!$B$7,IF((AQ95-Pointer!$B$5*TAN(AE95*PI()/180))&gt;(Pointer!$B$6+Pointer!$B$9),(Pointer!$B$6+Pointer!$B$9-Pointer!$B$5*Pointer!$B$8/Pointer!$B$7-AQ95-AH95*TAN(AE95*PI()/180))/(-TAN(AE95*PI()/180)-(Pointer!$B$8/Pointer!$B$7)),((Pointer!$B$9-AQ95-AH95*TAN(AE95*PI()/180))/(-TAN(AE95*PI()/180)-(Pointer!$B$6)/Pointer!$B$5)))),0)</f>
        <v>15.307940536836286</v>
      </c>
      <c r="BA95" s="39">
        <f t="shared" si="15"/>
        <v>6.1413248931543905</v>
      </c>
      <c r="BB95" s="39">
        <f t="shared" si="16"/>
        <v>2.5653970268418145</v>
      </c>
      <c r="BC95" s="33"/>
      <c r="BD95" s="39">
        <f t="shared" si="17"/>
        <v>75</v>
      </c>
      <c r="BE95" s="39">
        <f t="shared" si="18"/>
        <v>-0.06984348022190254</v>
      </c>
      <c r="BF95" s="39">
        <f t="shared" si="19"/>
        <v>6.424829189778702</v>
      </c>
      <c r="BG95" s="39">
        <f t="shared" si="20"/>
        <v>490</v>
      </c>
      <c r="BH95" s="39">
        <f t="shared" si="21"/>
        <v>0.13329943782731496</v>
      </c>
      <c r="BI95" s="39">
        <f t="shared" si="22"/>
        <v>7.698427421789398</v>
      </c>
      <c r="BJ95" s="33"/>
    </row>
    <row r="96" spans="27:62" ht="12.75">
      <c r="AA96" s="37" t="s">
        <v>45</v>
      </c>
      <c r="AB96" s="38">
        <f t="shared" si="23"/>
        <v>7</v>
      </c>
      <c r="AC96" s="33" t="str">
        <f>IF(AC95="","",Pointer!F10)</f>
        <v>AV27</v>
      </c>
      <c r="AD96" s="32" t="str">
        <f>Pointer!G10</f>
        <v>2,5</v>
      </c>
      <c r="AE96" s="33">
        <f t="shared" si="24"/>
        <v>15.76</v>
      </c>
      <c r="AF96" s="39">
        <f t="shared" si="25"/>
        <v>-0.4506139673678145</v>
      </c>
      <c r="AG96" s="39">
        <f t="shared" si="2"/>
        <v>0.12683074053165982</v>
      </c>
      <c r="AH96" s="39">
        <f t="shared" si="3"/>
        <v>0.001890864637099976</v>
      </c>
      <c r="AI96" s="39">
        <f t="shared" si="4"/>
        <v>-0.5755538432623744</v>
      </c>
      <c r="AJ96" s="39">
        <f t="shared" si="5"/>
        <v>-0.5755538432623744</v>
      </c>
      <c r="AK96" s="39">
        <f t="shared" si="6"/>
        <v>-0.4506139673678145</v>
      </c>
      <c r="AL96" s="39">
        <f t="shared" si="0"/>
        <v>-0.4506139673678145</v>
      </c>
      <c r="AM96" s="39">
        <f t="shared" si="7"/>
        <v>0.12683074053165982</v>
      </c>
      <c r="AN96" s="34"/>
      <c r="AO96" s="39">
        <f t="shared" si="26"/>
        <v>6.278947057650353</v>
      </c>
      <c r="AP96" s="39">
        <f t="shared" si="8"/>
        <v>6.11598200213571</v>
      </c>
      <c r="AQ96" s="39">
        <f t="shared" si="9"/>
        <v>5.673274392746113</v>
      </c>
      <c r="AR96" s="39">
        <f t="shared" si="10"/>
        <v>5.8362394482607565</v>
      </c>
      <c r="AS96" s="39">
        <f t="shared" si="11"/>
        <v>5.8362394482607565</v>
      </c>
      <c r="AT96" s="39">
        <f t="shared" si="12"/>
        <v>6.278947057650353</v>
      </c>
      <c r="AU96" s="39">
        <f t="shared" si="1"/>
        <v>6.278947057650353</v>
      </c>
      <c r="AV96" s="39">
        <f t="shared" si="13"/>
        <v>5.673274392746113</v>
      </c>
      <c r="AW96" s="34"/>
      <c r="AX96" s="34"/>
      <c r="AY96" s="39">
        <f t="shared" si="14"/>
        <v>0.001890864637099976</v>
      </c>
      <c r="AZ96" s="39">
        <f>IF(AC96="AV27",IF((AQ96-(Pointer!$B$5+Pointer!$B$7)*TAN(AE96*PI()/180))&gt;(Pointer!$B$6+Pointer!$B$8+Pointer!$B$9),Pointer!$B$5+Pointer!$B$7,IF((AQ96-Pointer!$B$5*TAN(AE96*PI()/180))&gt;(Pointer!$B$6+Pointer!$B$9),(Pointer!$B$6+Pointer!$B$9-Pointer!$B$5*Pointer!$B$8/Pointer!$B$7-AQ96-AH96*TAN(AE96*PI()/180))/(-TAN(AE96*PI()/180)-(Pointer!$B$8/Pointer!$B$7)),((Pointer!$B$9-AQ96-AH96*TAN(AE96*PI()/180))/(-TAN(AE96*PI()/180)-(Pointer!$B$6)/Pointer!$B$5)))),0)</f>
        <v>11.660454203600366</v>
      </c>
      <c r="BA96" s="39">
        <f t="shared" si="15"/>
        <v>5.673274392746113</v>
      </c>
      <c r="BB96" s="39">
        <f t="shared" si="16"/>
        <v>2.3830227101800174</v>
      </c>
      <c r="BC96" s="33"/>
      <c r="BD96" s="39">
        <f t="shared" si="17"/>
        <v>75</v>
      </c>
      <c r="BE96" s="39">
        <f t="shared" si="18"/>
        <v>-0.18875246104488974</v>
      </c>
      <c r="BF96" s="39">
        <f t="shared" si="19"/>
        <v>5.965246388163924</v>
      </c>
      <c r="BG96" s="39">
        <f t="shared" si="20"/>
        <v>565</v>
      </c>
      <c r="BH96" s="39">
        <f t="shared" si="21"/>
        <v>0.09054918576463294</v>
      </c>
      <c r="BI96" s="39">
        <f t="shared" si="22"/>
        <v>7.468359142989556</v>
      </c>
      <c r="BJ96" s="33"/>
    </row>
    <row r="97" spans="27:62" ht="12.75">
      <c r="AA97" s="37" t="s">
        <v>45</v>
      </c>
      <c r="AB97" s="38">
        <f t="shared" si="23"/>
        <v>8</v>
      </c>
      <c r="AC97" s="33" t="str">
        <f>IF(AC96="","",Pointer!F11)</f>
        <v>AV27</v>
      </c>
      <c r="AD97" s="32" t="str">
        <f>Pointer!G11</f>
        <v>1,25</v>
      </c>
      <c r="AE97" s="33">
        <f t="shared" si="24"/>
        <v>17.009999999999998</v>
      </c>
      <c r="AF97" s="39">
        <f t="shared" si="25"/>
        <v>-0.5755538432623744</v>
      </c>
      <c r="AG97" s="39">
        <f t="shared" si="2"/>
        <v>-0.0018016155169326975</v>
      </c>
      <c r="AH97" s="39">
        <f t="shared" si="3"/>
        <v>-0.1363693747071495</v>
      </c>
      <c r="AI97" s="39">
        <f t="shared" si="4"/>
        <v>-0.7101216024525911</v>
      </c>
      <c r="AJ97" s="39">
        <f t="shared" si="5"/>
        <v>-0.7101216024525911</v>
      </c>
      <c r="AK97" s="39">
        <f t="shared" si="6"/>
        <v>-0.5755538432623744</v>
      </c>
      <c r="AL97" s="39">
        <f t="shared" si="0"/>
        <v>-0.5755538432623744</v>
      </c>
      <c r="AM97" s="39">
        <f t="shared" si="7"/>
        <v>-0.0018016155169326975</v>
      </c>
      <c r="AN97" s="34"/>
      <c r="AO97" s="39">
        <f t="shared" si="26"/>
        <v>5.8362394482607565</v>
      </c>
      <c r="AP97" s="39">
        <f t="shared" si="8"/>
        <v>5.660716284099604</v>
      </c>
      <c r="AQ97" s="39">
        <f t="shared" si="9"/>
        <v>5.220839576161432</v>
      </c>
      <c r="AR97" s="39">
        <f t="shared" si="10"/>
        <v>5.3963627403225845</v>
      </c>
      <c r="AS97" s="39">
        <f t="shared" si="11"/>
        <v>5.3963627403225845</v>
      </c>
      <c r="AT97" s="39">
        <f t="shared" si="12"/>
        <v>5.8362394482607565</v>
      </c>
      <c r="AU97" s="39">
        <f t="shared" si="1"/>
        <v>5.8362394482607565</v>
      </c>
      <c r="AV97" s="39">
        <f t="shared" si="13"/>
        <v>5.220839576161432</v>
      </c>
      <c r="AW97" s="34"/>
      <c r="AX97" s="34"/>
      <c r="AY97" s="39">
        <f t="shared" si="14"/>
        <v>-0.1363693747071495</v>
      </c>
      <c r="AZ97" s="39">
        <f>IF(AC97="AV27",IF((AQ97-(Pointer!$B$5+Pointer!$B$7)*TAN(AE97*PI()/180))&gt;(Pointer!$B$6+Pointer!$B$8+Pointer!$B$9),Pointer!$B$5+Pointer!$B$7,IF((AQ97-Pointer!$B$5*TAN(AE97*PI()/180))&gt;(Pointer!$B$6+Pointer!$B$9),(Pointer!$B$6+Pointer!$B$9-Pointer!$B$5*Pointer!$B$8/Pointer!$B$7-AQ97-AH97*TAN(AE97*PI()/180))/(-TAN(AE97*PI()/180)-(Pointer!$B$8/Pointer!$B$7)),((Pointer!$B$9-AQ97-AH97*TAN(AE97*PI()/180))/(-TAN(AE97*PI()/180)-(Pointer!$B$6)/Pointer!$B$5)))),0)</f>
        <v>9.494006074029993</v>
      </c>
      <c r="BA97" s="39">
        <f t="shared" si="15"/>
        <v>5.220839576161432</v>
      </c>
      <c r="BB97" s="39">
        <f t="shared" si="16"/>
        <v>2.2747003037014992</v>
      </c>
      <c r="BC97" s="33"/>
      <c r="BD97" s="39">
        <f t="shared" si="17"/>
        <v>75</v>
      </c>
      <c r="BE97" s="39">
        <f t="shared" si="18"/>
        <v>-0.3205802216071264</v>
      </c>
      <c r="BF97" s="39">
        <f t="shared" si="19"/>
        <v>5.516837967933684</v>
      </c>
      <c r="BG97" s="39">
        <f t="shared" si="20"/>
        <v>640</v>
      </c>
      <c r="BH97" s="39">
        <f t="shared" si="21"/>
        <v>0.042369958338254854</v>
      </c>
      <c r="BI97" s="39">
        <f t="shared" si="22"/>
        <v>7.2396652552876954</v>
      </c>
      <c r="BJ97" s="33"/>
    </row>
    <row r="98" spans="27:62" ht="12.75">
      <c r="AA98" s="37" t="s">
        <v>45</v>
      </c>
      <c r="AB98" s="38">
        <f t="shared" si="23"/>
        <v>9</v>
      </c>
      <c r="AC98" s="33" t="str">
        <f>IF(AC97="","",Pointer!F12)</f>
        <v>AV27</v>
      </c>
      <c r="AD98" s="32" t="str">
        <f>Pointer!G12</f>
        <v>1,25</v>
      </c>
      <c r="AE98" s="33">
        <f t="shared" si="24"/>
        <v>18.259999999999998</v>
      </c>
      <c r="AF98" s="39">
        <f t="shared" si="25"/>
        <v>-0.7101216024525911</v>
      </c>
      <c r="AG98" s="39">
        <f t="shared" si="2"/>
        <v>-0.1403349298472727</v>
      </c>
      <c r="AH98" s="39">
        <f t="shared" si="3"/>
        <v>-0.2844665253679374</v>
      </c>
      <c r="AI98" s="39">
        <f t="shared" si="4"/>
        <v>-0.8542531979732558</v>
      </c>
      <c r="AJ98" s="39">
        <f t="shared" si="5"/>
        <v>-0.8542531979732558</v>
      </c>
      <c r="AK98" s="39">
        <f t="shared" si="6"/>
        <v>-0.7101216024525911</v>
      </c>
      <c r="AL98" s="39">
        <f t="shared" si="0"/>
        <v>-0.7101216024525911</v>
      </c>
      <c r="AM98" s="39">
        <f t="shared" si="7"/>
        <v>-0.1403349298472727</v>
      </c>
      <c r="AN98" s="34"/>
      <c r="AO98" s="39">
        <f t="shared" si="26"/>
        <v>5.3963627403225845</v>
      </c>
      <c r="AP98" s="39">
        <f t="shared" si="8"/>
        <v>5.208365007034761</v>
      </c>
      <c r="AQ98" s="39">
        <f t="shared" si="9"/>
        <v>4.77152855803735</v>
      </c>
      <c r="AR98" s="39">
        <f t="shared" si="10"/>
        <v>4.959526291325173</v>
      </c>
      <c r="AS98" s="39">
        <f t="shared" si="11"/>
        <v>4.959526291325173</v>
      </c>
      <c r="AT98" s="39">
        <f t="shared" si="12"/>
        <v>5.3963627403225845</v>
      </c>
      <c r="AU98" s="39">
        <f t="shared" si="1"/>
        <v>5.3963627403225845</v>
      </c>
      <c r="AV98" s="39">
        <f t="shared" si="13"/>
        <v>4.77152855803735</v>
      </c>
      <c r="AW98" s="34"/>
      <c r="AX98" s="34"/>
      <c r="AY98" s="39">
        <f t="shared" si="14"/>
        <v>-0.2844665253679374</v>
      </c>
      <c r="AZ98" s="39">
        <f>IF(AC98="AV27",IF((AQ98-(Pointer!$B$5+Pointer!$B$7)*TAN(AE98*PI()/180))&gt;(Pointer!$B$6+Pointer!$B$8+Pointer!$B$9),Pointer!$B$5+Pointer!$B$7,IF((AQ98-Pointer!$B$5*TAN(AE98*PI()/180))&gt;(Pointer!$B$6+Pointer!$B$9),(Pointer!$B$6+Pointer!$B$9-Pointer!$B$5*Pointer!$B$8/Pointer!$B$7-AQ98-AH98*TAN(AE98*PI()/180))/(-TAN(AE98*PI()/180)-(Pointer!$B$8/Pointer!$B$7)),((Pointer!$B$9-AQ98-AH98*TAN(AE98*PI()/180))/(-TAN(AE98*PI()/180)-(Pointer!$B$6)/Pointer!$B$5)))),0)</f>
        <v>7.573931925876808</v>
      </c>
      <c r="BA98" s="39">
        <f t="shared" si="15"/>
        <v>4.77152855803735</v>
      </c>
      <c r="BB98" s="39">
        <f t="shared" si="16"/>
        <v>2.1786965962938396</v>
      </c>
      <c r="BC98" s="33"/>
      <c r="BD98" s="39">
        <f t="shared" si="17"/>
        <v>75</v>
      </c>
      <c r="BE98" s="39">
        <f t="shared" si="18"/>
        <v>-0.462157219099603</v>
      </c>
      <c r="BF98" s="39">
        <f t="shared" si="19"/>
        <v>5.071412466960779</v>
      </c>
      <c r="BG98" s="39">
        <f t="shared" si="20"/>
        <v>715</v>
      </c>
      <c r="BH98" s="39">
        <f t="shared" si="21"/>
        <v>-0.010552472861520446</v>
      </c>
      <c r="BI98" s="39">
        <f t="shared" si="22"/>
        <v>7.01222615161704</v>
      </c>
      <c r="BJ98" s="33"/>
    </row>
    <row r="99" spans="27:62" ht="12.75">
      <c r="AA99" s="37" t="s">
        <v>45</v>
      </c>
      <c r="AB99" s="38">
        <f t="shared" si="23"/>
        <v>10</v>
      </c>
      <c r="AC99" s="33" t="str">
        <f>IF(AC98="","",Pointer!F13)</f>
        <v>AV27</v>
      </c>
      <c r="AD99" s="32" t="str">
        <f>Pointer!G13</f>
        <v>2,5</v>
      </c>
      <c r="AE99" s="33">
        <f t="shared" si="24"/>
        <v>20.759999999999998</v>
      </c>
      <c r="AF99" s="39">
        <f t="shared" si="25"/>
        <v>-0.8542531979732558</v>
      </c>
      <c r="AG99" s="39">
        <f t="shared" si="2"/>
        <v>-0.29320918197795487</v>
      </c>
      <c r="AH99" s="39">
        <f t="shared" si="3"/>
        <v>-0.4562581344407466</v>
      </c>
      <c r="AI99" s="39">
        <f t="shared" si="4"/>
        <v>-1.0173021504360475</v>
      </c>
      <c r="AJ99" s="39">
        <f t="shared" si="5"/>
        <v>-1.0173021504360475</v>
      </c>
      <c r="AK99" s="39">
        <f t="shared" si="6"/>
        <v>-0.8542531979732558</v>
      </c>
      <c r="AL99" s="39">
        <f t="shared" si="0"/>
        <v>-0.8542531979732558</v>
      </c>
      <c r="AM99" s="39">
        <f t="shared" si="7"/>
        <v>-0.29320918197795487</v>
      </c>
      <c r="AN99" s="34"/>
      <c r="AO99" s="39">
        <f t="shared" si="26"/>
        <v>4.959526291325173</v>
      </c>
      <c r="AP99" s="39">
        <f t="shared" si="8"/>
        <v>4.746853744634575</v>
      </c>
      <c r="AQ99" s="39">
        <f t="shared" si="9"/>
        <v>4.3167199990381775</v>
      </c>
      <c r="AR99" s="39">
        <f t="shared" si="10"/>
        <v>4.529392545728776</v>
      </c>
      <c r="AS99" s="39">
        <f t="shared" si="11"/>
        <v>4.529392545728776</v>
      </c>
      <c r="AT99" s="39">
        <f t="shared" si="12"/>
        <v>4.959526291325173</v>
      </c>
      <c r="AU99" s="39">
        <f t="shared" si="1"/>
        <v>4.959526291325173</v>
      </c>
      <c r="AV99" s="39">
        <f t="shared" si="13"/>
        <v>4.3167199990381775</v>
      </c>
      <c r="AW99" s="34"/>
      <c r="AX99" s="34"/>
      <c r="AY99" s="39">
        <f t="shared" si="14"/>
        <v>-0.4562581344407466</v>
      </c>
      <c r="AZ99" s="39">
        <f>IF(AC99="AV27",IF((AQ99-(Pointer!$B$5+Pointer!$B$7)*TAN(AE99*PI()/180))&gt;(Pointer!$B$6+Pointer!$B$8+Pointer!$B$9),Pointer!$B$5+Pointer!$B$7,IF((AQ99-Pointer!$B$5*TAN(AE99*PI()/180))&gt;(Pointer!$B$6+Pointer!$B$9),(Pointer!$B$6+Pointer!$B$9-Pointer!$B$5*Pointer!$B$8/Pointer!$B$7-AQ99-AH99*TAN(AE99*PI()/180))/(-TAN(AE99*PI()/180)-(Pointer!$B$8/Pointer!$B$7)),((Pointer!$B$9-AQ99-AH99*TAN(AE99*PI()/180))/(-TAN(AE99*PI()/180)-(Pointer!$B$6)/Pointer!$B$5)))),0)</f>
        <v>5.4624924512545086</v>
      </c>
      <c r="BA99" s="39">
        <f t="shared" si="15"/>
        <v>4.3167199990381775</v>
      </c>
      <c r="BB99" s="39">
        <f t="shared" si="16"/>
        <v>2.0731246225627253</v>
      </c>
      <c r="BC99" s="33"/>
      <c r="BD99" s="39">
        <f t="shared" si="17"/>
        <v>75</v>
      </c>
      <c r="BE99" s="39">
        <f t="shared" si="18"/>
        <v>-0.620657951887291</v>
      </c>
      <c r="BF99" s="39">
        <f t="shared" si="19"/>
        <v>4.623944975402302</v>
      </c>
      <c r="BG99" s="39">
        <f t="shared" si="20"/>
        <v>790</v>
      </c>
      <c r="BH99" s="39">
        <f t="shared" si="21"/>
        <v>-0.06847387909814429</v>
      </c>
      <c r="BI99" s="39">
        <f t="shared" si="22"/>
        <v>6.7854905969131085</v>
      </c>
      <c r="BJ99" s="33"/>
    </row>
    <row r="100" spans="27:62" ht="12.75">
      <c r="AA100" s="37" t="s">
        <v>45</v>
      </c>
      <c r="AB100" s="38">
        <f t="shared" si="23"/>
        <v>11</v>
      </c>
      <c r="AC100" s="33" t="str">
        <f>IF(AC99="","",Pointer!F14)</f>
        <v>AV27</v>
      </c>
      <c r="AD100" s="32" t="str">
        <f>Pointer!G14</f>
        <v>2,5</v>
      </c>
      <c r="AE100" s="33">
        <f t="shared" si="24"/>
        <v>23.259999999999998</v>
      </c>
      <c r="AF100" s="39">
        <f t="shared" si="25"/>
        <v>-1.0173021504360475</v>
      </c>
      <c r="AG100" s="39">
        <f t="shared" si="2"/>
        <v>-0.4660687702228685</v>
      </c>
      <c r="AH100" s="39">
        <f t="shared" si="3"/>
        <v>-0.6477247066796774</v>
      </c>
      <c r="AI100" s="39">
        <f t="shared" si="4"/>
        <v>-1.1989580868928564</v>
      </c>
      <c r="AJ100" s="39">
        <f t="shared" si="5"/>
        <v>-1.1989580868928564</v>
      </c>
      <c r="AK100" s="39">
        <f t="shared" si="6"/>
        <v>-1.0173021504360475</v>
      </c>
      <c r="AL100" s="39">
        <f t="shared" si="0"/>
        <v>-1.0173021504360475</v>
      </c>
      <c r="AM100" s="39">
        <f t="shared" si="7"/>
        <v>-0.4660687702228685</v>
      </c>
      <c r="AN100" s="34"/>
      <c r="AO100" s="39">
        <f t="shared" si="26"/>
        <v>4.529392545728776</v>
      </c>
      <c r="AP100" s="39">
        <f t="shared" si="8"/>
        <v>4.292450019915546</v>
      </c>
      <c r="AQ100" s="39">
        <f t="shared" si="9"/>
        <v>3.8698377617521094</v>
      </c>
      <c r="AR100" s="39">
        <f t="shared" si="10"/>
        <v>4.106780287565338</v>
      </c>
      <c r="AS100" s="39">
        <f t="shared" si="11"/>
        <v>4.106780287565338</v>
      </c>
      <c r="AT100" s="39">
        <f t="shared" si="12"/>
        <v>4.529392545728776</v>
      </c>
      <c r="AU100" s="39">
        <f t="shared" si="1"/>
        <v>4.529392545728776</v>
      </c>
      <c r="AV100" s="39">
        <f t="shared" si="13"/>
        <v>3.8698377617521094</v>
      </c>
      <c r="AW100" s="34"/>
      <c r="AX100" s="34"/>
      <c r="AY100" s="39">
        <f t="shared" si="14"/>
        <v>-0.6477247066796774</v>
      </c>
      <c r="AZ100" s="39">
        <f>IF(AC100="AV27",IF((AQ100-(Pointer!$B$5+Pointer!$B$7)*TAN(AE100*PI()/180))&gt;(Pointer!$B$6+Pointer!$B$8+Pointer!$B$9),Pointer!$B$5+Pointer!$B$7,IF((AQ100-Pointer!$B$5*TAN(AE100*PI()/180))&gt;(Pointer!$B$6+Pointer!$B$9),(Pointer!$B$6+Pointer!$B$9-Pointer!$B$5*Pointer!$B$8/Pointer!$B$7-AQ100-AH100*TAN(AE100*PI()/180))/(-TAN(AE100*PI()/180)-(Pointer!$B$8/Pointer!$B$7)),((Pointer!$B$9-AQ100-AH100*TAN(AE100*PI()/180))/(-TAN(AE100*PI()/180)-(Pointer!$B$6)/Pointer!$B$5)))),0)</f>
        <v>3.733362862273962</v>
      </c>
      <c r="BA100" s="39">
        <f t="shared" si="15"/>
        <v>3.8698377617521094</v>
      </c>
      <c r="BB100" s="39">
        <f t="shared" si="16"/>
        <v>1.986668143113698</v>
      </c>
      <c r="BC100" s="33"/>
      <c r="BD100" s="39">
        <f t="shared" si="17"/>
        <v>75</v>
      </c>
      <c r="BE100" s="39">
        <f t="shared" si="18"/>
        <v>-0.7985207034447165</v>
      </c>
      <c r="BF100" s="39">
        <f t="shared" si="19"/>
        <v>4.183818985352894</v>
      </c>
      <c r="BG100" s="39">
        <f t="shared" si="20"/>
        <v>865</v>
      </c>
      <c r="BH100" s="39">
        <f t="shared" si="21"/>
        <v>-0.1317727367004482</v>
      </c>
      <c r="BI100" s="39">
        <f t="shared" si="22"/>
        <v>6.5599121334830315</v>
      </c>
      <c r="BJ100" s="33"/>
    </row>
    <row r="101" spans="27:62" ht="12.75">
      <c r="AA101" s="37" t="s">
        <v>45</v>
      </c>
      <c r="AB101" s="38">
        <f t="shared" si="23"/>
        <v>12</v>
      </c>
      <c r="AC101" s="33" t="str">
        <f>IF(AC100="","",Pointer!F15)</f>
        <v>AV27</v>
      </c>
      <c r="AD101" s="32" t="str">
        <f>Pointer!G15</f>
        <v>5</v>
      </c>
      <c r="AE101" s="33">
        <f t="shared" si="24"/>
        <v>28.259999999999998</v>
      </c>
      <c r="AF101" s="39">
        <f t="shared" si="25"/>
        <v>-1.1989580868928564</v>
      </c>
      <c r="AG101" s="39">
        <f t="shared" si="2"/>
        <v>-0.6704732179390543</v>
      </c>
      <c r="AH101" s="39">
        <f t="shared" si="3"/>
        <v>-0.8882709839687178</v>
      </c>
      <c r="AI101" s="39">
        <f t="shared" si="4"/>
        <v>-1.41675585292252</v>
      </c>
      <c r="AJ101" s="39">
        <f t="shared" si="5"/>
        <v>-1.41675585292252</v>
      </c>
      <c r="AK101" s="39">
        <f t="shared" si="6"/>
        <v>-1.1989580868928564</v>
      </c>
      <c r="AL101" s="39">
        <f t="shared" si="0"/>
        <v>-1.1989580868928564</v>
      </c>
      <c r="AM101" s="39">
        <f t="shared" si="7"/>
        <v>-0.6704732179390543</v>
      </c>
      <c r="AN101" s="34"/>
      <c r="AO101" s="39">
        <f t="shared" si="26"/>
        <v>4.106780287565338</v>
      </c>
      <c r="AP101" s="39">
        <f t="shared" si="8"/>
        <v>3.822696244917951</v>
      </c>
      <c r="AQ101" s="39">
        <f t="shared" si="9"/>
        <v>3.4175245120533693</v>
      </c>
      <c r="AR101" s="39">
        <f t="shared" si="10"/>
        <v>3.7016085547007567</v>
      </c>
      <c r="AS101" s="39">
        <f t="shared" si="11"/>
        <v>3.7016085547007567</v>
      </c>
      <c r="AT101" s="39">
        <f t="shared" si="12"/>
        <v>4.106780287565338</v>
      </c>
      <c r="AU101" s="39">
        <f t="shared" si="1"/>
        <v>4.106780287565338</v>
      </c>
      <c r="AV101" s="39">
        <f t="shared" si="13"/>
        <v>3.4175245120533693</v>
      </c>
      <c r="AW101" s="34"/>
      <c r="AX101" s="34"/>
      <c r="AY101" s="39">
        <f t="shared" si="14"/>
        <v>-0.8882709839687178</v>
      </c>
      <c r="AZ101" s="39">
        <f>IF(AC101="AV27",IF((AQ101-(Pointer!$B$5+Pointer!$B$7)*TAN(AE101*PI()/180))&gt;(Pointer!$B$6+Pointer!$B$8+Pointer!$B$9),Pointer!$B$5+Pointer!$B$7,IF((AQ101-Pointer!$B$5*TAN(AE101*PI()/180))&gt;(Pointer!$B$6+Pointer!$B$9),(Pointer!$B$6+Pointer!$B$9-Pointer!$B$5*Pointer!$B$8/Pointer!$B$7-AQ101-AH101*TAN(AE101*PI()/180))/(-TAN(AE101*PI()/180)-(Pointer!$B$8/Pointer!$B$7)),((Pointer!$B$9-AQ101-AH101*TAN(AE101*PI()/180))/(-TAN(AE101*PI()/180)-(Pointer!$B$6)/Pointer!$B$5)))),0)</f>
        <v>1.940346343947158</v>
      </c>
      <c r="BA101" s="39">
        <f t="shared" si="15"/>
        <v>3.4175245120533693</v>
      </c>
      <c r="BB101" s="39">
        <f t="shared" si="16"/>
        <v>1.8970173171973583</v>
      </c>
      <c r="BC101" s="33"/>
      <c r="BD101" s="39">
        <f t="shared" si="17"/>
        <v>75</v>
      </c>
      <c r="BE101" s="39">
        <f t="shared" si="18"/>
        <v>-1.0110246351786358</v>
      </c>
      <c r="BF101" s="39">
        <f t="shared" si="19"/>
        <v>3.7432134636328613</v>
      </c>
      <c r="BG101" s="39">
        <f t="shared" si="20"/>
        <v>940</v>
      </c>
      <c r="BH101" s="39">
        <f t="shared" si="21"/>
        <v>-0.2019258137066866</v>
      </c>
      <c r="BI101" s="39">
        <f t="shared" si="22"/>
        <v>6.335175537484348</v>
      </c>
      <c r="BJ101" s="33"/>
    </row>
    <row r="102" spans="27:62" ht="12.75">
      <c r="AA102" s="37" t="s">
        <v>45</v>
      </c>
      <c r="AB102" s="38">
        <f t="shared" si="23"/>
        <v>13</v>
      </c>
      <c r="AC102" s="33">
        <f>IF(AC101="","",Pointer!F16)</f>
      </c>
      <c r="AD102" s="32" t="str">
        <f>Pointer!G16</f>
        <v>5</v>
      </c>
      <c r="AE102" s="33">
        <f t="shared" si="24"/>
        <v>33.26</v>
      </c>
      <c r="AF102" s="39">
        <f t="shared" si="25"/>
      </c>
      <c r="AG102" s="39">
        <f t="shared" si="2"/>
      </c>
      <c r="AH102" s="39">
        <f t="shared" si="3"/>
      </c>
      <c r="AI102" s="39">
        <f t="shared" si="4"/>
      </c>
      <c r="AJ102" s="39">
        <f t="shared" si="5"/>
      </c>
      <c r="AK102" s="39">
        <f t="shared" si="6"/>
      </c>
      <c r="AL102" s="39">
        <f t="shared" si="0"/>
      </c>
      <c r="AM102" s="39">
        <f t="shared" si="7"/>
        <v>-1000</v>
      </c>
      <c r="AN102" s="34"/>
      <c r="AO102" s="39">
        <f t="shared" si="26"/>
      </c>
      <c r="AP102" s="39">
        <f t="shared" si="8"/>
      </c>
      <c r="AQ102" s="39">
        <f t="shared" si="9"/>
      </c>
      <c r="AR102" s="39">
        <f t="shared" si="10"/>
      </c>
      <c r="AS102" s="39">
        <f t="shared" si="11"/>
      </c>
      <c r="AT102" s="39">
        <f t="shared" si="12"/>
      </c>
      <c r="AU102" s="39">
        <f t="shared" si="1"/>
      </c>
      <c r="AV102" s="39">
        <f t="shared" si="13"/>
        <v>1000</v>
      </c>
      <c r="AW102" s="34"/>
      <c r="AX102" s="34"/>
      <c r="AY102" s="39">
        <f t="shared" si="14"/>
        <v>0</v>
      </c>
      <c r="AZ102" s="39">
        <f>IF(AC102="AV27",IF((AQ102-(Pointer!$B$5+Pointer!$B$7)*TAN(AE102*PI()/180))&gt;(Pointer!$B$6+Pointer!$B$8+Pointer!$B$9),Pointer!$B$5+Pointer!$B$7,IF((AQ102-Pointer!$B$5*TAN(AE102*PI()/180))&gt;(Pointer!$B$6+Pointer!$B$9),(Pointer!$B$6+Pointer!$B$9-Pointer!$B$5*Pointer!$B$8/Pointer!$B$7-AQ102-AH102*TAN(AE102*PI()/180))/(-TAN(AE102*PI()/180)-(Pointer!$B$8/Pointer!$B$7)),((Pointer!$B$9-AQ102-AH102*TAN(AE102*PI()/180))/(-TAN(AE102*PI()/180)-(Pointer!$B$6)/Pointer!$B$5)))),0)</f>
        <v>0</v>
      </c>
      <c r="BA102" s="39">
        <f t="shared" si="15"/>
        <v>0</v>
      </c>
      <c r="BB102" s="39">
        <f t="shared" si="16"/>
        <v>0</v>
      </c>
      <c r="BC102" s="33"/>
      <c r="BD102" s="39">
        <f t="shared" si="17"/>
        <v>0</v>
      </c>
      <c r="BE102" s="39">
        <f t="shared" si="18"/>
        <v>0</v>
      </c>
      <c r="BF102" s="39">
        <f t="shared" si="19"/>
        <v>0</v>
      </c>
      <c r="BG102" s="39">
        <f t="shared" si="20"/>
        <v>940</v>
      </c>
      <c r="BH102" s="39">
        <f t="shared" si="21"/>
        <v>-0.2019258137066866</v>
      </c>
      <c r="BI102" s="39">
        <f t="shared" si="22"/>
        <v>6.335175537484348</v>
      </c>
      <c r="BJ102" s="33"/>
    </row>
    <row r="103" spans="27:62" ht="12.75">
      <c r="AA103" s="37" t="s">
        <v>45</v>
      </c>
      <c r="AB103" s="38">
        <f t="shared" si="23"/>
        <v>14</v>
      </c>
      <c r="AC103" s="33">
        <f>IF(AC102="","",Pointer!F17)</f>
      </c>
      <c r="AD103" s="32" t="str">
        <f>Pointer!G17</f>
        <v>5</v>
      </c>
      <c r="AE103" s="33">
        <f t="shared" si="24"/>
        <v>38.26</v>
      </c>
      <c r="AF103" s="39">
        <f t="shared" si="25"/>
      </c>
      <c r="AG103" s="39">
        <f t="shared" si="2"/>
      </c>
      <c r="AH103" s="39">
        <f t="shared" si="3"/>
      </c>
      <c r="AI103" s="39">
        <f t="shared" si="4"/>
      </c>
      <c r="AJ103" s="39">
        <f t="shared" si="5"/>
      </c>
      <c r="AK103" s="39">
        <f t="shared" si="6"/>
      </c>
      <c r="AL103" s="39">
        <f t="shared" si="0"/>
      </c>
      <c r="AM103" s="39">
        <f t="shared" si="7"/>
        <v>-1000</v>
      </c>
      <c r="AN103" s="34"/>
      <c r="AO103" s="39">
        <f t="shared" si="26"/>
      </c>
      <c r="AP103" s="39">
        <f t="shared" si="8"/>
      </c>
      <c r="AQ103" s="39">
        <f t="shared" si="9"/>
      </c>
      <c r="AR103" s="39">
        <f t="shared" si="10"/>
      </c>
      <c r="AS103" s="39">
        <f t="shared" si="11"/>
      </c>
      <c r="AT103" s="39">
        <f t="shared" si="12"/>
      </c>
      <c r="AU103" s="39">
        <f t="shared" si="1"/>
      </c>
      <c r="AV103" s="39">
        <f t="shared" si="13"/>
        <v>1000</v>
      </c>
      <c r="AW103" s="34"/>
      <c r="AX103" s="34"/>
      <c r="AY103" s="39">
        <f t="shared" si="14"/>
        <v>0</v>
      </c>
      <c r="AZ103" s="39">
        <f>IF(AC103="AV27",IF((AQ103-(Pointer!$B$5+Pointer!$B$7)*TAN(AE103*PI()/180))&gt;(Pointer!$B$6+Pointer!$B$8+Pointer!$B$9),Pointer!$B$5+Pointer!$B$7,IF((AQ103-Pointer!$B$5*TAN(AE103*PI()/180))&gt;(Pointer!$B$6+Pointer!$B$9),(Pointer!$B$6+Pointer!$B$9-Pointer!$B$5*Pointer!$B$8/Pointer!$B$7-AQ103-AH103*TAN(AE103*PI()/180))/(-TAN(AE103*PI()/180)-(Pointer!$B$8/Pointer!$B$7)),((Pointer!$B$9-AQ103-AH103*TAN(AE103*PI()/180))/(-TAN(AE103*PI()/180)-(Pointer!$B$6)/Pointer!$B$5)))),0)</f>
        <v>0</v>
      </c>
      <c r="BA103" s="39">
        <f t="shared" si="15"/>
        <v>0</v>
      </c>
      <c r="BB103" s="39">
        <f t="shared" si="16"/>
        <v>0</v>
      </c>
      <c r="BC103" s="33"/>
      <c r="BD103" s="39">
        <f t="shared" si="17"/>
        <v>0</v>
      </c>
      <c r="BE103" s="39">
        <f t="shared" si="18"/>
        <v>0</v>
      </c>
      <c r="BF103" s="39">
        <f t="shared" si="19"/>
        <v>0</v>
      </c>
      <c r="BG103" s="39">
        <f t="shared" si="20"/>
        <v>940</v>
      </c>
      <c r="BH103" s="39">
        <f t="shared" si="21"/>
        <v>-0.2019258137066866</v>
      </c>
      <c r="BI103" s="39">
        <f t="shared" si="22"/>
        <v>6.335175537484348</v>
      </c>
      <c r="BJ103" s="33"/>
    </row>
    <row r="104" spans="27:62" ht="12.75">
      <c r="AA104" s="37" t="s">
        <v>45</v>
      </c>
      <c r="AB104" s="38">
        <f t="shared" si="23"/>
        <v>15</v>
      </c>
      <c r="AC104" s="33">
        <f>IF(AC103="","",Pointer!F18)</f>
      </c>
      <c r="AD104" s="32" t="str">
        <f>Pointer!G18</f>
        <v>5</v>
      </c>
      <c r="AE104" s="33">
        <f t="shared" si="24"/>
        <v>43.26</v>
      </c>
      <c r="AF104" s="39">
        <f t="shared" si="25"/>
      </c>
      <c r="AG104" s="39">
        <f t="shared" si="2"/>
      </c>
      <c r="AH104" s="39">
        <f t="shared" si="3"/>
      </c>
      <c r="AI104" s="39">
        <f t="shared" si="4"/>
      </c>
      <c r="AJ104" s="39">
        <f t="shared" si="5"/>
      </c>
      <c r="AK104" s="39">
        <f t="shared" si="6"/>
      </c>
      <c r="AL104" s="39">
        <f t="shared" si="0"/>
      </c>
      <c r="AM104" s="39">
        <f t="shared" si="7"/>
        <v>-1000</v>
      </c>
      <c r="AN104" s="34"/>
      <c r="AO104" s="39">
        <f t="shared" si="26"/>
      </c>
      <c r="AP104" s="39">
        <f t="shared" si="8"/>
      </c>
      <c r="AQ104" s="39">
        <f t="shared" si="9"/>
      </c>
      <c r="AR104" s="39">
        <f t="shared" si="10"/>
      </c>
      <c r="AS104" s="39">
        <f t="shared" si="11"/>
      </c>
      <c r="AT104" s="39">
        <f t="shared" si="12"/>
      </c>
      <c r="AU104" s="39">
        <f t="shared" si="1"/>
      </c>
      <c r="AV104" s="39">
        <f t="shared" si="13"/>
        <v>1000</v>
      </c>
      <c r="AW104" s="34"/>
      <c r="AX104" s="34"/>
      <c r="AY104" s="39">
        <f t="shared" si="14"/>
        <v>0</v>
      </c>
      <c r="AZ104" s="39">
        <f>IF(AC104="AV27",IF((AQ104-(Pointer!$B$5+Pointer!$B$7)*TAN(AE104*PI()/180))&gt;(Pointer!$B$6+Pointer!$B$8+Pointer!$B$9),Pointer!$B$5+Pointer!$B$7,IF((AQ104-Pointer!$B$5*TAN(AE104*PI()/180))&gt;(Pointer!$B$6+Pointer!$B$9),(Pointer!$B$6+Pointer!$B$9-Pointer!$B$5*Pointer!$B$8/Pointer!$B$7-AQ104-AH104*TAN(AE104*PI()/180))/(-TAN(AE104*PI()/180)-(Pointer!$B$8/Pointer!$B$7)),((Pointer!$B$9-AQ104-AH104*TAN(AE104*PI()/180))/(-TAN(AE104*PI()/180)-(Pointer!$B$6)/Pointer!$B$5)))),0)</f>
        <v>0</v>
      </c>
      <c r="BA104" s="39">
        <f t="shared" si="15"/>
        <v>0</v>
      </c>
      <c r="BB104" s="39">
        <f t="shared" si="16"/>
        <v>0</v>
      </c>
      <c r="BC104" s="33"/>
      <c r="BD104" s="39">
        <f t="shared" si="17"/>
        <v>0</v>
      </c>
      <c r="BE104" s="39">
        <f t="shared" si="18"/>
        <v>0</v>
      </c>
      <c r="BF104" s="39">
        <f t="shared" si="19"/>
        <v>0</v>
      </c>
      <c r="BG104" s="39">
        <f t="shared" si="20"/>
        <v>940</v>
      </c>
      <c r="BH104" s="39">
        <f t="shared" si="21"/>
        <v>-0.2019258137066866</v>
      </c>
      <c r="BI104" s="39">
        <f t="shared" si="22"/>
        <v>6.335175537484348</v>
      </c>
      <c r="BJ104" s="33"/>
    </row>
    <row r="105" spans="27:62" ht="12.75">
      <c r="AA105" s="37" t="s">
        <v>45</v>
      </c>
      <c r="AB105" s="38">
        <f t="shared" si="23"/>
        <v>16</v>
      </c>
      <c r="AC105" s="33">
        <f>IF(AC104="","",Pointer!F19)</f>
      </c>
      <c r="AD105" s="32" t="str">
        <f>Pointer!G19</f>
        <v>5</v>
      </c>
      <c r="AE105" s="33">
        <f t="shared" si="24"/>
        <v>48.26</v>
      </c>
      <c r="AF105" s="39">
        <f t="shared" si="25"/>
      </c>
      <c r="AG105" s="39">
        <f t="shared" si="2"/>
      </c>
      <c r="AH105" s="39">
        <f t="shared" si="3"/>
      </c>
      <c r="AI105" s="39">
        <f t="shared" si="4"/>
      </c>
      <c r="AJ105" s="39">
        <f t="shared" si="5"/>
      </c>
      <c r="AK105" s="39">
        <f t="shared" si="6"/>
      </c>
      <c r="AL105" s="39">
        <f t="shared" si="0"/>
      </c>
      <c r="AM105" s="39">
        <f t="shared" si="7"/>
        <v>-1000</v>
      </c>
      <c r="AN105" s="34"/>
      <c r="AO105" s="39">
        <f t="shared" si="26"/>
      </c>
      <c r="AP105" s="39">
        <f t="shared" si="8"/>
      </c>
      <c r="AQ105" s="39">
        <f t="shared" si="9"/>
      </c>
      <c r="AR105" s="39">
        <f t="shared" si="10"/>
      </c>
      <c r="AS105" s="39">
        <f t="shared" si="11"/>
      </c>
      <c r="AT105" s="39">
        <f t="shared" si="12"/>
      </c>
      <c r="AU105" s="39">
        <f t="shared" si="1"/>
      </c>
      <c r="AV105" s="39">
        <f t="shared" si="13"/>
        <v>1000</v>
      </c>
      <c r="AW105" s="34"/>
      <c r="AX105" s="34"/>
      <c r="AY105" s="39">
        <f t="shared" si="14"/>
        <v>0</v>
      </c>
      <c r="AZ105" s="39">
        <f>IF(AC105="AV27",IF((AQ105-(Pointer!$B$5+Pointer!$B$7)*TAN(AE105*PI()/180))&gt;(Pointer!$B$6+Pointer!$B$8+Pointer!$B$9),Pointer!$B$5+Pointer!$B$7,IF((AQ105-Pointer!$B$5*TAN(AE105*PI()/180))&gt;(Pointer!$B$6+Pointer!$B$9),(Pointer!$B$6+Pointer!$B$9-Pointer!$B$5*Pointer!$B$8/Pointer!$B$7-AQ105-AH105*TAN(AE105*PI()/180))/(-TAN(AE105*PI()/180)-(Pointer!$B$8/Pointer!$B$7)),((Pointer!$B$9-AQ105-AH105*TAN(AE105*PI()/180))/(-TAN(AE105*PI()/180)-(Pointer!$B$6)/Pointer!$B$5)))),0)</f>
        <v>0</v>
      </c>
      <c r="BA105" s="39">
        <f t="shared" si="15"/>
        <v>0</v>
      </c>
      <c r="BB105" s="39">
        <f t="shared" si="16"/>
        <v>0</v>
      </c>
      <c r="BC105" s="33"/>
      <c r="BD105" s="39">
        <f t="shared" si="17"/>
        <v>0</v>
      </c>
      <c r="BE105" s="39">
        <f t="shared" si="18"/>
        <v>0</v>
      </c>
      <c r="BF105" s="39">
        <f t="shared" si="19"/>
        <v>0</v>
      </c>
      <c r="BG105" s="39">
        <f t="shared" si="20"/>
        <v>940</v>
      </c>
      <c r="BH105" s="39">
        <f t="shared" si="21"/>
        <v>-0.2019258137066866</v>
      </c>
      <c r="BI105" s="39">
        <f t="shared" si="22"/>
        <v>6.335175537484348</v>
      </c>
      <c r="BJ105" s="33"/>
    </row>
    <row r="106" spans="27:62" ht="12.75">
      <c r="AA106" s="37" t="s">
        <v>45</v>
      </c>
      <c r="AB106" s="38">
        <f t="shared" si="23"/>
        <v>17</v>
      </c>
      <c r="AC106" s="33">
        <f>IF(AC105="","",Pointer!F20)</f>
      </c>
      <c r="AD106" s="32" t="str">
        <f>Pointer!G20</f>
        <v>5</v>
      </c>
      <c r="AE106" s="33">
        <f t="shared" si="24"/>
        <v>53.26</v>
      </c>
      <c r="AF106" s="39">
        <f t="shared" si="25"/>
      </c>
      <c r="AG106" s="39">
        <f t="shared" si="2"/>
      </c>
      <c r="AH106" s="39">
        <f t="shared" si="3"/>
      </c>
      <c r="AI106" s="39">
        <f t="shared" si="4"/>
      </c>
      <c r="AJ106" s="39">
        <f t="shared" si="5"/>
      </c>
      <c r="AK106" s="39">
        <f t="shared" si="6"/>
      </c>
      <c r="AL106" s="39">
        <f t="shared" si="0"/>
      </c>
      <c r="AM106" s="39">
        <f t="shared" si="7"/>
        <v>-1000</v>
      </c>
      <c r="AN106" s="34"/>
      <c r="AO106" s="39">
        <f t="shared" si="26"/>
      </c>
      <c r="AP106" s="39">
        <f t="shared" si="8"/>
      </c>
      <c r="AQ106" s="39">
        <f t="shared" si="9"/>
      </c>
      <c r="AR106" s="39">
        <f t="shared" si="10"/>
      </c>
      <c r="AS106" s="39">
        <f t="shared" si="11"/>
      </c>
      <c r="AT106" s="39">
        <f t="shared" si="12"/>
      </c>
      <c r="AU106" s="39">
        <f t="shared" si="1"/>
      </c>
      <c r="AV106" s="39">
        <f t="shared" si="13"/>
        <v>1000</v>
      </c>
      <c r="AW106" s="34"/>
      <c r="AX106" s="34"/>
      <c r="AY106" s="39">
        <f t="shared" si="14"/>
        <v>0</v>
      </c>
      <c r="AZ106" s="39">
        <f>IF(AC106="AV27",IF((AQ106-(Pointer!$B$5+Pointer!$B$7)*TAN(AE106*PI()/180))&gt;(Pointer!$B$6+Pointer!$B$8+Pointer!$B$9),Pointer!$B$5+Pointer!$B$7,IF((AQ106-Pointer!$B$5*TAN(AE106*PI()/180))&gt;(Pointer!$B$6+Pointer!$B$9),(Pointer!$B$6+Pointer!$B$9-Pointer!$B$5*Pointer!$B$8/Pointer!$B$7-AQ106-AH106*TAN(AE106*PI()/180))/(-TAN(AE106*PI()/180)-(Pointer!$B$8/Pointer!$B$7)),((Pointer!$B$9-AQ106-AH106*TAN(AE106*PI()/180))/(-TAN(AE106*PI()/180)-(Pointer!$B$6)/Pointer!$B$5)))),0)</f>
        <v>0</v>
      </c>
      <c r="BA106" s="39">
        <f t="shared" si="15"/>
        <v>0</v>
      </c>
      <c r="BB106" s="39">
        <f t="shared" si="16"/>
        <v>0</v>
      </c>
      <c r="BC106" s="33"/>
      <c r="BD106" s="39">
        <f t="shared" si="17"/>
        <v>0</v>
      </c>
      <c r="BE106" s="39">
        <f t="shared" si="18"/>
        <v>0</v>
      </c>
      <c r="BF106" s="39">
        <f t="shared" si="19"/>
        <v>0</v>
      </c>
      <c r="BG106" s="39">
        <f t="shared" si="20"/>
        <v>940</v>
      </c>
      <c r="BH106" s="39">
        <f t="shared" si="21"/>
        <v>-0.2019258137066866</v>
      </c>
      <c r="BI106" s="39">
        <f t="shared" si="22"/>
        <v>6.335175537484348</v>
      </c>
      <c r="BJ106" s="33"/>
    </row>
    <row r="107" spans="27:62" ht="12.75">
      <c r="AA107" s="37" t="s">
        <v>45</v>
      </c>
      <c r="AB107" s="38">
        <f t="shared" si="23"/>
        <v>18</v>
      </c>
      <c r="AC107" s="33">
        <f>IF(AC106="","",Pointer!F21)</f>
      </c>
      <c r="AD107" s="32" t="str">
        <f>Pointer!G21</f>
        <v>5</v>
      </c>
      <c r="AE107" s="33">
        <f t="shared" si="24"/>
        <v>58.26</v>
      </c>
      <c r="AF107" s="39">
        <f t="shared" si="25"/>
      </c>
      <c r="AG107" s="39">
        <f t="shared" si="2"/>
      </c>
      <c r="AH107" s="39">
        <f t="shared" si="3"/>
      </c>
      <c r="AI107" s="39">
        <f t="shared" si="4"/>
      </c>
      <c r="AJ107" s="39">
        <f t="shared" si="5"/>
      </c>
      <c r="AK107" s="39">
        <f t="shared" si="6"/>
      </c>
      <c r="AL107" s="39">
        <f t="shared" si="0"/>
      </c>
      <c r="AM107" s="39">
        <f t="shared" si="7"/>
        <v>-1000</v>
      </c>
      <c r="AN107" s="34"/>
      <c r="AO107" s="39">
        <f t="shared" si="26"/>
      </c>
      <c r="AP107" s="39">
        <f t="shared" si="8"/>
      </c>
      <c r="AQ107" s="39">
        <f t="shared" si="9"/>
      </c>
      <c r="AR107" s="39">
        <f t="shared" si="10"/>
      </c>
      <c r="AS107" s="39">
        <f t="shared" si="11"/>
      </c>
      <c r="AT107" s="39">
        <f t="shared" si="12"/>
      </c>
      <c r="AU107" s="39">
        <f t="shared" si="1"/>
      </c>
      <c r="AV107" s="39">
        <f t="shared" si="13"/>
        <v>1000</v>
      </c>
      <c r="AW107" s="34"/>
      <c r="AX107" s="34"/>
      <c r="AY107" s="39">
        <f t="shared" si="14"/>
        <v>0</v>
      </c>
      <c r="AZ107" s="39">
        <f>IF(AC107="AV27",IF((AQ107-(Pointer!$B$5+Pointer!$B$7)*TAN(AE107*PI()/180))&gt;(Pointer!$B$6+Pointer!$B$8+Pointer!$B$9),Pointer!$B$5+Pointer!$B$7,IF((AQ107-Pointer!$B$5*TAN(AE107*PI()/180))&gt;(Pointer!$B$6+Pointer!$B$9),(Pointer!$B$6+Pointer!$B$9-Pointer!$B$5*Pointer!$B$8/Pointer!$B$7-AQ107-AH107*TAN(AE107*PI()/180))/(-TAN(AE107*PI()/180)-(Pointer!$B$8/Pointer!$B$7)),((Pointer!$B$9-AQ107-AH107*TAN(AE107*PI()/180))/(-TAN(AE107*PI()/180)-(Pointer!$B$6)/Pointer!$B$5)))),0)</f>
        <v>0</v>
      </c>
      <c r="BA107" s="39">
        <f t="shared" si="15"/>
        <v>0</v>
      </c>
      <c r="BB107" s="39">
        <f t="shared" si="16"/>
        <v>0</v>
      </c>
      <c r="BC107" s="33"/>
      <c r="BD107" s="39">
        <f t="shared" si="17"/>
        <v>0</v>
      </c>
      <c r="BE107" s="39">
        <f t="shared" si="18"/>
        <v>0</v>
      </c>
      <c r="BF107" s="39">
        <f t="shared" si="19"/>
        <v>0</v>
      </c>
      <c r="BG107" s="39">
        <f t="shared" si="20"/>
        <v>940</v>
      </c>
      <c r="BH107" s="39">
        <f t="shared" si="21"/>
        <v>-0.2019258137066866</v>
      </c>
      <c r="BI107" s="39">
        <f t="shared" si="22"/>
        <v>6.335175537484348</v>
      </c>
      <c r="BJ107" s="33"/>
    </row>
    <row r="108" spans="27:62" ht="12.75">
      <c r="AA108" s="37" t="s">
        <v>45</v>
      </c>
      <c r="AB108" s="38">
        <f t="shared" si="23"/>
        <v>19</v>
      </c>
      <c r="AC108" s="33">
        <f>IF(AC107="","",Pointer!F22)</f>
      </c>
      <c r="AD108" s="32" t="str">
        <f>Pointer!G22</f>
        <v>5</v>
      </c>
      <c r="AE108" s="33">
        <f t="shared" si="24"/>
        <v>63.26</v>
      </c>
      <c r="AF108" s="39">
        <f t="shared" si="25"/>
      </c>
      <c r="AG108" s="39">
        <f t="shared" si="2"/>
      </c>
      <c r="AH108" s="39">
        <f t="shared" si="3"/>
      </c>
      <c r="AI108" s="39">
        <f t="shared" si="4"/>
      </c>
      <c r="AJ108" s="39">
        <f t="shared" si="5"/>
      </c>
      <c r="AK108" s="39">
        <f t="shared" si="6"/>
      </c>
      <c r="AL108" s="39">
        <f t="shared" si="0"/>
      </c>
      <c r="AM108" s="39">
        <f t="shared" si="7"/>
        <v>-1000</v>
      </c>
      <c r="AN108" s="34"/>
      <c r="AO108" s="39">
        <f t="shared" si="26"/>
      </c>
      <c r="AP108" s="39">
        <f t="shared" si="8"/>
      </c>
      <c r="AQ108" s="39">
        <f t="shared" si="9"/>
      </c>
      <c r="AR108" s="39">
        <f t="shared" si="10"/>
      </c>
      <c r="AS108" s="39">
        <f t="shared" si="11"/>
      </c>
      <c r="AT108" s="39">
        <f t="shared" si="12"/>
      </c>
      <c r="AU108" s="39">
        <f t="shared" si="1"/>
      </c>
      <c r="AV108" s="39">
        <f t="shared" si="13"/>
        <v>1000</v>
      </c>
      <c r="AW108" s="34"/>
      <c r="AX108" s="34"/>
      <c r="AY108" s="39">
        <f t="shared" si="14"/>
        <v>0</v>
      </c>
      <c r="AZ108" s="39">
        <f>IF(AC108="AV27",IF((AQ108-(Pointer!$B$5+Pointer!$B$7)*TAN(AE108*PI()/180))&gt;(Pointer!$B$6+Pointer!$B$8+Pointer!$B$9),Pointer!$B$5+Pointer!$B$7,IF((AQ108-Pointer!$B$5*TAN(AE108*PI()/180))&gt;(Pointer!$B$6+Pointer!$B$9),(Pointer!$B$6+Pointer!$B$9-Pointer!$B$5*Pointer!$B$8/Pointer!$B$7-AQ108-AH108*TAN(AE108*PI()/180))/(-TAN(AE108*PI()/180)-(Pointer!$B$8/Pointer!$B$7)),((Pointer!$B$9-AQ108-AH108*TAN(AE108*PI()/180))/(-TAN(AE108*PI()/180)-(Pointer!$B$6)/Pointer!$B$5)))),0)</f>
        <v>0</v>
      </c>
      <c r="BA108" s="39">
        <f t="shared" si="15"/>
        <v>0</v>
      </c>
      <c r="BB108" s="39">
        <f t="shared" si="16"/>
        <v>0</v>
      </c>
      <c r="BC108" s="33"/>
      <c r="BD108" s="39">
        <f t="shared" si="17"/>
        <v>0</v>
      </c>
      <c r="BE108" s="39">
        <f t="shared" si="18"/>
        <v>0</v>
      </c>
      <c r="BF108" s="39">
        <f t="shared" si="19"/>
        <v>0</v>
      </c>
      <c r="BG108" s="39">
        <f t="shared" si="20"/>
        <v>940</v>
      </c>
      <c r="BH108" s="39">
        <f t="shared" si="21"/>
        <v>-0.2019258137066866</v>
      </c>
      <c r="BI108" s="39">
        <f t="shared" si="22"/>
        <v>6.335175537484348</v>
      </c>
      <c r="BJ108" s="33"/>
    </row>
    <row r="109" spans="27:62" ht="12.75">
      <c r="AA109" s="37" t="s">
        <v>45</v>
      </c>
      <c r="AB109" s="38">
        <f t="shared" si="23"/>
        <v>20</v>
      </c>
      <c r="AC109" s="33">
        <f>IF(AC108="","",Pointer!F23)</f>
      </c>
      <c r="AD109" s="32" t="str">
        <f>Pointer!G23</f>
        <v>0</v>
      </c>
      <c r="AE109" s="33">
        <f t="shared" si="24"/>
        <v>63.26</v>
      </c>
      <c r="AF109" s="39">
        <f t="shared" si="25"/>
      </c>
      <c r="AG109" s="39">
        <f t="shared" si="2"/>
      </c>
      <c r="AH109" s="39">
        <f t="shared" si="3"/>
      </c>
      <c r="AI109" s="39">
        <f t="shared" si="4"/>
      </c>
      <c r="AJ109" s="39">
        <f t="shared" si="5"/>
      </c>
      <c r="AK109" s="39">
        <f t="shared" si="6"/>
      </c>
      <c r="AL109" s="39">
        <f t="shared" si="0"/>
      </c>
      <c r="AM109" s="39">
        <f t="shared" si="7"/>
        <v>-1000</v>
      </c>
      <c r="AN109" s="34"/>
      <c r="AO109" s="39">
        <f t="shared" si="26"/>
      </c>
      <c r="AP109" s="39">
        <f t="shared" si="8"/>
      </c>
      <c r="AQ109" s="39">
        <f t="shared" si="9"/>
      </c>
      <c r="AR109" s="39">
        <f t="shared" si="10"/>
      </c>
      <c r="AS109" s="39">
        <f t="shared" si="11"/>
      </c>
      <c r="AT109" s="39">
        <f t="shared" si="12"/>
      </c>
      <c r="AU109" s="39">
        <f t="shared" si="1"/>
      </c>
      <c r="AV109" s="39">
        <f t="shared" si="13"/>
        <v>1000</v>
      </c>
      <c r="AW109" s="34"/>
      <c r="AX109" s="34"/>
      <c r="AY109" s="39">
        <f t="shared" si="14"/>
        <v>0</v>
      </c>
      <c r="AZ109" s="39">
        <f>IF(AC109="AV27",IF((AQ109-(Pointer!$B$5+Pointer!$B$7)*TAN(AE109*PI()/180))&gt;(Pointer!$B$6+Pointer!$B$8+Pointer!$B$9),Pointer!$B$5+Pointer!$B$7,IF((AQ109-Pointer!$B$5*TAN(AE109*PI()/180))&gt;(Pointer!$B$6+Pointer!$B$9),(Pointer!$B$6+Pointer!$B$9-Pointer!$B$5*Pointer!$B$8/Pointer!$B$7-AQ109-AH109*TAN(AE109*PI()/180))/(-TAN(AE109*PI()/180)-(Pointer!$B$8/Pointer!$B$7)),((Pointer!$B$9-AQ109-AH109*TAN(AE109*PI()/180))/(-TAN(AE109*PI()/180)-(Pointer!$B$6)/Pointer!$B$5)))),0)</f>
        <v>0</v>
      </c>
      <c r="BA109" s="39">
        <f t="shared" si="15"/>
        <v>0</v>
      </c>
      <c r="BB109" s="39">
        <f t="shared" si="16"/>
        <v>0</v>
      </c>
      <c r="BC109" s="33"/>
      <c r="BD109" s="39">
        <f t="shared" si="17"/>
        <v>0</v>
      </c>
      <c r="BE109" s="39">
        <f t="shared" si="18"/>
        <v>0</v>
      </c>
      <c r="BF109" s="39">
        <f t="shared" si="19"/>
        <v>0</v>
      </c>
      <c r="BG109" s="39">
        <f t="shared" si="20"/>
        <v>940</v>
      </c>
      <c r="BH109" s="39">
        <f t="shared" si="21"/>
        <v>-0.2019258137066866</v>
      </c>
      <c r="BI109" s="39">
        <f t="shared" si="22"/>
        <v>6.335175537484348</v>
      </c>
      <c r="BJ109" s="33"/>
    </row>
    <row r="110" spans="27:62" ht="12.75">
      <c r="AA110" s="33"/>
      <c r="AB110" s="31"/>
      <c r="AC110" s="33"/>
      <c r="AD110" s="32"/>
      <c r="AE110" s="33"/>
      <c r="AF110" s="34"/>
      <c r="AG110" s="34"/>
      <c r="AH110" s="34"/>
      <c r="AI110" s="34"/>
      <c r="AJ110" s="34"/>
      <c r="AK110" s="34"/>
      <c r="AL110" s="34"/>
      <c r="AM110" s="39">
        <f>MAXA(AM90:AM109)</f>
        <v>0.5955276909847932</v>
      </c>
      <c r="AN110" s="34"/>
      <c r="AO110" s="34"/>
      <c r="AP110" s="34"/>
      <c r="AQ110" s="34"/>
      <c r="AR110" s="34"/>
      <c r="AS110" s="34"/>
      <c r="AT110" s="34"/>
      <c r="AU110" s="34"/>
      <c r="AV110" s="39">
        <f>MINA(AV90:AV109)</f>
        <v>3.4175245120533693</v>
      </c>
      <c r="AW110" s="34"/>
      <c r="AX110" s="34"/>
      <c r="AY110" s="34"/>
      <c r="AZ110" s="34"/>
      <c r="BA110" s="34"/>
      <c r="BB110" s="34"/>
      <c r="BC110" s="33"/>
      <c r="BD110" s="39">
        <f>SUM(BD89:BD109)</f>
        <v>940</v>
      </c>
      <c r="BE110" s="33"/>
      <c r="BF110" s="33"/>
      <c r="BG110" s="33"/>
      <c r="BH110" s="33"/>
      <c r="BI110" s="33"/>
      <c r="BJ110" s="33"/>
    </row>
    <row r="111" spans="27:62" ht="12.75">
      <c r="AA111" s="33"/>
      <c r="AB111" s="31"/>
      <c r="AC111" s="33"/>
      <c r="AD111" s="32"/>
      <c r="AE111" s="33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3"/>
      <c r="BD111" s="33"/>
      <c r="BE111" s="33"/>
      <c r="BF111" s="33"/>
      <c r="BG111" s="33"/>
      <c r="BH111" s="33"/>
      <c r="BI111" s="33"/>
      <c r="BJ111" s="33"/>
    </row>
  </sheetData>
  <sheetProtection password="F248" sheet="1" objects="1" scenarios="1" formatCells="0"/>
  <mergeCells count="2">
    <mergeCell ref="G3:H3"/>
    <mergeCell ref="G2:H2"/>
  </mergeCells>
  <printOptions/>
  <pageMargins left="0.5905511811023623" right="0.5905511811023623" top="0.5905511811023623" bottom="0.7874015748031497" header="0.5118110236220472" footer="0.5118110236220472"/>
  <pageSetup orientation="landscape" paperSize="9" scale="80" r:id="rId5"/>
  <drawing r:id="rId4"/>
  <legacyDrawing r:id="rId3"/>
  <oleObjects>
    <oleObject progId="Photoshop.Image.6" shapeId="37847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KO-sound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Software: AV27 Pointer Sheet</dc:title>
  <dc:subject>AV27 Pointer Sheet</dc:subject>
  <dc:creator>RS, Stage Accompany, Ridderkerk</dc:creator>
  <cp:keywords>Audience, AV37, AB37, line array</cp:keywords>
  <dc:description/>
  <cp:lastModifiedBy>Rene</cp:lastModifiedBy>
  <cp:lastPrinted>2005-09-02T09:51:36Z</cp:lastPrinted>
  <dcterms:created xsi:type="dcterms:W3CDTF">2004-01-15T15:24:21Z</dcterms:created>
  <dcterms:modified xsi:type="dcterms:W3CDTF">2012-04-28T08:55:41Z</dcterms:modified>
  <cp:category>Pro Audio</cp:category>
  <cp:version/>
  <cp:contentType/>
  <cp:contentStatus/>
</cp:coreProperties>
</file>